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inancial\Policing Contracts\Lake and North Barrington\2023-2025\"/>
    </mc:Choice>
  </mc:AlternateContent>
  <xr:revisionPtr revIDLastSave="0" documentId="8_{2D7861DC-E4DE-486E-867C-4DB1DF5B85CC}" xr6:coauthVersionLast="47" xr6:coauthVersionMax="47" xr10:uidLastSave="{00000000-0000-0000-0000-000000000000}"/>
  <bookViews>
    <workbookView xWindow="-120" yWindow="-120" windowWidth="29040" windowHeight="15840" xr2:uid="{8BF9D6AB-4F03-4ED8-A5D0-7FAD2672CD31}"/>
  </bookViews>
  <sheets>
    <sheet name="Rate Schedule" sheetId="1" r:id="rId1"/>
    <sheet name="Hours per Yr" sheetId="2" r:id="rId2"/>
    <sheet name="Personnel" sheetId="3" r:id="rId3"/>
    <sheet name="Indirect Costs" sheetId="4" r:id="rId4"/>
    <sheet name="Benefits" sheetId="5" r:id="rId5"/>
    <sheet name="Commodities" sheetId="6" r:id="rId6"/>
    <sheet name="Contractuals" sheetId="7" r:id="rId7"/>
    <sheet name="Capital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E16" i="1"/>
  <c r="F18" i="1"/>
  <c r="F17" i="1"/>
  <c r="F16" i="1"/>
  <c r="G16" i="1" s="1"/>
  <c r="G18" i="1"/>
  <c r="G17" i="1"/>
  <c r="B14" i="2" l="1"/>
  <c r="B13" i="2"/>
  <c r="D9" i="2"/>
  <c r="D8" i="2"/>
  <c r="C6" i="1" s="1"/>
  <c r="B9" i="2"/>
  <c r="D3" i="2"/>
  <c r="D2" i="2"/>
  <c r="B3" i="2"/>
  <c r="B2" i="2"/>
  <c r="C7" i="1" l="1"/>
  <c r="C34" i="1"/>
  <c r="E34" i="1" s="1"/>
  <c r="B4" i="8"/>
  <c r="C30" i="1"/>
  <c r="E30" i="1" s="1"/>
  <c r="B10" i="7"/>
  <c r="B9" i="7"/>
  <c r="B8" i="7" s="1"/>
  <c r="C25" i="1"/>
  <c r="E25" i="1" s="1"/>
  <c r="B10" i="6"/>
  <c r="B8" i="6" s="1"/>
  <c r="B3" i="6"/>
  <c r="C24" i="1" s="1"/>
  <c r="E24" i="1" s="1"/>
  <c r="C20" i="1"/>
  <c r="C19" i="1"/>
  <c r="F35" i="5"/>
  <c r="C18" i="1" s="1"/>
  <c r="E18" i="1" s="1"/>
  <c r="G27" i="5"/>
  <c r="G26" i="5"/>
  <c r="G2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5" i="5"/>
  <c r="D47" i="4"/>
  <c r="D44" i="4"/>
  <c r="D40" i="4"/>
  <c r="D36" i="4"/>
  <c r="D25" i="4"/>
  <c r="D21" i="4"/>
  <c r="D17" i="4"/>
  <c r="D13" i="4"/>
  <c r="D10" i="4"/>
  <c r="D7" i="4"/>
  <c r="D4" i="4"/>
  <c r="H14" i="3"/>
  <c r="H15" i="3" s="1"/>
  <c r="H16" i="3" s="1"/>
  <c r="C11" i="1" s="1"/>
  <c r="E11" i="1" s="1"/>
  <c r="F11" i="1" s="1"/>
  <c r="J11" i="3"/>
  <c r="I11" i="3"/>
  <c r="H11" i="3"/>
  <c r="G11" i="3"/>
  <c r="F11" i="3"/>
  <c r="E11" i="3"/>
  <c r="D11" i="3"/>
  <c r="C11" i="3"/>
  <c r="A8" i="3"/>
  <c r="A9" i="3" s="1"/>
  <c r="A10" i="3" s="1"/>
  <c r="B29" i="2"/>
  <c r="A29" i="2"/>
  <c r="A32" i="2" s="1"/>
  <c r="C32" i="2" s="1"/>
  <c r="C34" i="2" s="1"/>
  <c r="B8" i="2" s="1"/>
  <c r="F19" i="1" l="1"/>
  <c r="F21" i="1" s="1"/>
  <c r="F20" i="1"/>
  <c r="G11" i="1"/>
  <c r="F12" i="1"/>
  <c r="B4" i="7"/>
  <c r="B3" i="7" s="1"/>
  <c r="C29" i="1" s="1"/>
  <c r="E29" i="1" s="1"/>
  <c r="E31" i="1" s="1"/>
  <c r="E26" i="1"/>
  <c r="E20" i="1"/>
  <c r="E19" i="1"/>
  <c r="G31" i="1"/>
  <c r="F35" i="1"/>
  <c r="G35" i="1"/>
  <c r="E35" i="1"/>
  <c r="G20" i="5"/>
  <c r="H13" i="5" s="1"/>
  <c r="I13" i="5" s="1"/>
  <c r="G28" i="5"/>
  <c r="H27" i="5" s="1"/>
  <c r="I27" i="5" s="1"/>
  <c r="D50" i="4"/>
  <c r="D54" i="4" s="1"/>
  <c r="C12" i="1" s="1"/>
  <c r="E12" i="1" s="1"/>
  <c r="E13" i="1" s="1"/>
  <c r="G20" i="1" l="1"/>
  <c r="G19" i="1"/>
  <c r="G21" i="1" s="1"/>
  <c r="G12" i="1"/>
  <c r="F31" i="1"/>
  <c r="G26" i="1"/>
  <c r="F26" i="1"/>
  <c r="F13" i="1"/>
  <c r="H18" i="5"/>
  <c r="I18" i="5" s="1"/>
  <c r="H17" i="5"/>
  <c r="I17" i="5" s="1"/>
  <c r="H6" i="5"/>
  <c r="I6" i="5" s="1"/>
  <c r="H5" i="5"/>
  <c r="H12" i="5"/>
  <c r="I12" i="5" s="1"/>
  <c r="H9" i="5"/>
  <c r="I9" i="5" s="1"/>
  <c r="H19" i="5"/>
  <c r="I19" i="5" s="1"/>
  <c r="H11" i="5"/>
  <c r="I11" i="5" s="1"/>
  <c r="H14" i="5"/>
  <c r="I14" i="5" s="1"/>
  <c r="H15" i="5"/>
  <c r="I15" i="5" s="1"/>
  <c r="H16" i="5"/>
  <c r="I16" i="5" s="1"/>
  <c r="H10" i="5"/>
  <c r="I10" i="5" s="1"/>
  <c r="H7" i="5"/>
  <c r="I7" i="5" s="1"/>
  <c r="H8" i="5"/>
  <c r="I8" i="5" s="1"/>
  <c r="I5" i="5"/>
  <c r="H25" i="5"/>
  <c r="I25" i="5" s="1"/>
  <c r="H26" i="5"/>
  <c r="G13" i="1" l="1"/>
  <c r="H20" i="5"/>
  <c r="I20" i="5"/>
  <c r="O7" i="5" s="1"/>
  <c r="M7" i="5" s="1"/>
  <c r="H28" i="5"/>
  <c r="I26" i="5"/>
  <c r="I28" i="5" s="1"/>
  <c r="O25" i="5" s="1"/>
  <c r="N7" i="5" l="1"/>
  <c r="N25" i="5"/>
  <c r="M25" i="5"/>
  <c r="C17" i="1" s="1"/>
  <c r="E17" i="1" s="1"/>
  <c r="E21" i="1" l="1"/>
  <c r="E37" i="1" s="1"/>
  <c r="F37" i="1"/>
  <c r="G37" i="1"/>
  <c r="E42" i="1" l="1"/>
  <c r="E49" i="1" s="1"/>
  <c r="E53" i="1" s="1"/>
  <c r="E41" i="1"/>
  <c r="G41" i="1"/>
  <c r="G42" i="1"/>
  <c r="G49" i="1" s="1"/>
  <c r="F41" i="1"/>
  <c r="F48" i="1" s="1"/>
  <c r="F42" i="1"/>
  <c r="F49" i="1" s="1"/>
  <c r="E43" i="1" l="1"/>
  <c r="E45" i="1" s="1"/>
  <c r="F51" i="1"/>
  <c r="E48" i="1"/>
  <c r="E52" i="1" s="1"/>
  <c r="G51" i="1"/>
  <c r="F43" i="1"/>
  <c r="F45" i="1" s="1"/>
  <c r="G48" i="1"/>
  <c r="G50" i="1" s="1"/>
  <c r="G43" i="1"/>
  <c r="G45" i="1" s="1"/>
  <c r="F50" i="1" l="1"/>
</calcChain>
</file>

<file path=xl/sharedStrings.xml><?xml version="1.0" encoding="utf-8"?>
<sst xmlns="http://schemas.openxmlformats.org/spreadsheetml/2006/main" count="651" uniqueCount="216">
  <si>
    <t>Annual Hours (per Deputy)</t>
  </si>
  <si>
    <t>Annual Contract Increase %</t>
  </si>
  <si>
    <t>Personnel</t>
  </si>
  <si>
    <t>Regular Wage</t>
  </si>
  <si>
    <t>Indirect Costs</t>
  </si>
  <si>
    <t>Benefits</t>
  </si>
  <si>
    <t>Health Insurance</t>
  </si>
  <si>
    <t>Dental Insurance</t>
  </si>
  <si>
    <t>Life Insurance</t>
  </si>
  <si>
    <t>FICA</t>
  </si>
  <si>
    <t>SLEP</t>
  </si>
  <si>
    <t>Commodities</t>
  </si>
  <si>
    <t>Gasoline</t>
  </si>
  <si>
    <t>Uniforms</t>
  </si>
  <si>
    <t>Contractuals</t>
  </si>
  <si>
    <t>Training</t>
  </si>
  <si>
    <t>Vehicle Maintenance</t>
  </si>
  <si>
    <t>Capital</t>
  </si>
  <si>
    <t>Vehicles</t>
  </si>
  <si>
    <t>Total Hourly Rate</t>
  </si>
  <si>
    <t>TOTAL Hrs</t>
  </si>
  <si>
    <t>Fixed Holidays</t>
  </si>
  <si>
    <t>Floating Holidays</t>
  </si>
  <si>
    <t>New Years Day</t>
  </si>
  <si>
    <t>President's Day</t>
  </si>
  <si>
    <t>Martin Luther King Day</t>
  </si>
  <si>
    <t>Good Friday</t>
  </si>
  <si>
    <t>Memorial Day</t>
  </si>
  <si>
    <t>Columbus Day</t>
  </si>
  <si>
    <t>Juneteenth</t>
  </si>
  <si>
    <t>Veteran's Day</t>
  </si>
  <si>
    <t>Independence Day</t>
  </si>
  <si>
    <t>Labor Day</t>
  </si>
  <si>
    <t>Thanksgiving Day</t>
  </si>
  <si>
    <t>Day After Thanksgiving Day</t>
  </si>
  <si>
    <t>Christmas Eve</t>
  </si>
  <si>
    <t>Christmas Day</t>
  </si>
  <si>
    <t>Double Time and Half</t>
  </si>
  <si>
    <t>Double Time</t>
  </si>
  <si>
    <t>Total Additional hours</t>
  </si>
  <si>
    <t>hrs/day</t>
  </si>
  <si>
    <t>INPUTS</t>
  </si>
  <si>
    <t>Pay Classification Table</t>
  </si>
  <si>
    <t>Deputy</t>
  </si>
  <si>
    <t>Start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</si>
  <si>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</si>
  <si>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</si>
  <si>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</si>
  <si>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</si>
  <si>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</si>
  <si>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</si>
  <si>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</si>
  <si>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</si>
  <si>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Step Increase</t>
  </si>
  <si>
    <t>-Current Contract Rates - Contract Expired 11/30/2020</t>
  </si>
  <si>
    <t>Proposed Contract Rates</t>
  </si>
  <si>
    <t>Central Service Departments</t>
  </si>
  <si>
    <t>Allocation Basis</t>
  </si>
  <si>
    <t>Allocation Source</t>
  </si>
  <si>
    <t>FY19</t>
  </si>
  <si>
    <t>Building Depreciation</t>
  </si>
  <si>
    <t>1.4.1 Administration Complex</t>
  </si>
  <si>
    <t>Usable Square Footage Occupied in Admin Tower</t>
  </si>
  <si>
    <t>Facility Maintenance Records</t>
  </si>
  <si>
    <t>Equipment Depreciation</t>
  </si>
  <si>
    <t>2.4.1 Equipment Depreciation</t>
  </si>
  <si>
    <t>Equipment Depreciation by Department</t>
  </si>
  <si>
    <t>County Records</t>
  </si>
  <si>
    <t>Miscellaneous Consulting Services</t>
  </si>
  <si>
    <t>3.4.1 County Wide Audits</t>
  </si>
  <si>
    <t>Number of Invoices Processed by Department</t>
  </si>
  <si>
    <t>Budget &amp; Finance Records</t>
  </si>
  <si>
    <t>Facility Operations</t>
  </si>
  <si>
    <t>4.4.1 Admin Tower</t>
  </si>
  <si>
    <t>4.4.2 All Other Buildings</t>
  </si>
  <si>
    <t>Square Footage by Department in All Other Buildings</t>
  </si>
  <si>
    <t>Support Services</t>
  </si>
  <si>
    <t>5.4.1 County Wide Support Services</t>
  </si>
  <si>
    <t>Number of FTE's per Department - Excluding Health Department &amp; County Board</t>
  </si>
  <si>
    <t>5.4.2 Postage</t>
  </si>
  <si>
    <t>Actual Postage Charges by Department</t>
  </si>
  <si>
    <t>Budget and Finance</t>
  </si>
  <si>
    <t>6.4.1 Accounting &amp; Budget</t>
  </si>
  <si>
    <t>6.4.2 Purchasing</t>
  </si>
  <si>
    <t>Number of Purchase Orders by Department</t>
  </si>
  <si>
    <t>Purchasing Director</t>
  </si>
  <si>
    <t>Information &amp; Technology Services</t>
  </si>
  <si>
    <t>7.4.1 Workstation Support</t>
  </si>
  <si>
    <t>Number of Computers in Each Department - with Exclusions</t>
  </si>
  <si>
    <t>IT Director</t>
  </si>
  <si>
    <t>7.4.2 Web Support</t>
  </si>
  <si>
    <t>Number of Employees in Each Department - Excluding Health</t>
  </si>
  <si>
    <t>7.4.3 IT Enterprise &amp; Operations</t>
  </si>
  <si>
    <t>Number of Employees in Each Department</t>
  </si>
  <si>
    <t>7.4.4 Financial Application Services</t>
  </si>
  <si>
    <t>Number of BOSS Finance Applications by Department</t>
  </si>
  <si>
    <t>7.4.5 Human Resource Application Services</t>
  </si>
  <si>
    <t>Number of HR Applications by Department</t>
  </si>
  <si>
    <t>7.4.6 Payroll &amp; Time Services</t>
  </si>
  <si>
    <t>Number of Payroll Applications by Department</t>
  </si>
  <si>
    <t>7.4.7 GIS &amp; Mapping</t>
  </si>
  <si>
    <t>Total Percent of GIS Resource Usage</t>
  </si>
  <si>
    <t>7.4.8 Justice Programs</t>
  </si>
  <si>
    <t>Number of System Users in Each Department</t>
  </si>
  <si>
    <t>7.4.9 Telecommunications</t>
  </si>
  <si>
    <t>Number of Telephone Equipment Assigned</t>
  </si>
  <si>
    <t>Human Resources</t>
  </si>
  <si>
    <t>8.4.1 Personnel Services</t>
  </si>
  <si>
    <t>Number of FTE's by Department</t>
  </si>
  <si>
    <t>County Payroll Records</t>
  </si>
  <si>
    <t>8.4.2 Payroll Services</t>
  </si>
  <si>
    <t>Number of Paychecks by Department</t>
  </si>
  <si>
    <t>Liability Insurance</t>
  </si>
  <si>
    <t>9.4.1 General Liability</t>
  </si>
  <si>
    <t>Number of FTE's by Department - Excluding Forest Preserve</t>
  </si>
  <si>
    <t>9.4.2 Loss Control</t>
  </si>
  <si>
    <t>Three Year Weighted Number of Claims by Department</t>
  </si>
  <si>
    <t>Lake County Risk Manager</t>
  </si>
  <si>
    <t>County Administrator</t>
  </si>
  <si>
    <t>10.4.1 Department Administration</t>
  </si>
  <si>
    <t>County Treasurer</t>
  </si>
  <si>
    <t>11.4.1 General Receipts</t>
  </si>
  <si>
    <t>Number of General Receipts by Department</t>
  </si>
  <si>
    <t>County Treasurer Records</t>
  </si>
  <si>
    <t>11.4.2 Disbursements</t>
  </si>
  <si>
    <t>Number of Paychecks &amp; Invoices Processed by Department</t>
  </si>
  <si>
    <t>County Record</t>
  </si>
  <si>
    <t>Total Indirect Costs</t>
  </si>
  <si>
    <t>Total Personnel Costs</t>
  </si>
  <si>
    <t>Indirect Cost Rate</t>
  </si>
  <si>
    <t>Position ID</t>
  </si>
  <si>
    <t>Position Name</t>
  </si>
  <si>
    <t>Dep Sher Grade I</t>
  </si>
  <si>
    <t>Benefit Plan</t>
  </si>
  <si>
    <t>HMO Blue Advantage Family</t>
  </si>
  <si>
    <t>Delta Dental Family</t>
  </si>
  <si>
    <t>CDHP PPO 80/20 Single</t>
  </si>
  <si>
    <t>Delta Dental Single</t>
  </si>
  <si>
    <t>CDHP PPO 70/30 Family</t>
  </si>
  <si>
    <t>CDHP PPO 80/20 Family</t>
  </si>
  <si>
    <t>HMO Illinois Family</t>
  </si>
  <si>
    <t>Traditional PPO Single</t>
  </si>
  <si>
    <t>Traditional PPO Single Plus One</t>
  </si>
  <si>
    <t>Traditional PPO Family</t>
  </si>
  <si>
    <t>HMO Illinois Single</t>
  </si>
  <si>
    <t>HMO Blue Advantage Single</t>
  </si>
  <si>
    <t>CDHP PPO 80/20 Single Plus One</t>
  </si>
  <si>
    <t>Delta Dental Single Plus One</t>
  </si>
  <si>
    <t>HMO Illinois Single Plus One</t>
  </si>
  <si>
    <t>Plan Rate</t>
  </si>
  <si>
    <t>Plan Allocation</t>
  </si>
  <si>
    <t>Plan</t>
  </si>
  <si>
    <t># Enrolled</t>
  </si>
  <si>
    <t>%</t>
  </si>
  <si>
    <t>Weight</t>
  </si>
  <si>
    <t>HMO Blue Advantage Single Plus One</t>
  </si>
  <si>
    <t>CDHP PPO 70/30 Single</t>
  </si>
  <si>
    <t>CDHP PPO 70/30 Single Plus One</t>
  </si>
  <si>
    <t>Weighted Average per Enrollment</t>
  </si>
  <si>
    <t>Annual Hours</t>
  </si>
  <si>
    <t>Hourly Avg.</t>
  </si>
  <si>
    <t>Monthly Avg.</t>
  </si>
  <si>
    <t>Yearly Avg.</t>
  </si>
  <si>
    <t>Life (.075 per $1,000 base Salary per year)</t>
  </si>
  <si>
    <t>=((Annual Salary/1000) * .075)/Hours)</t>
  </si>
  <si>
    <t>Hours</t>
  </si>
  <si>
    <t>Salary</t>
  </si>
  <si>
    <t xml:space="preserve">FICA </t>
  </si>
  <si>
    <t xml:space="preserve">SLEP </t>
  </si>
  <si>
    <t>Based on FY23 Estimates</t>
  </si>
  <si>
    <t>Cost per Gallon</t>
  </si>
  <si>
    <t>Average Gallons per Vehicle</t>
  </si>
  <si>
    <t>* Provided by Lake County DOT</t>
  </si>
  <si>
    <t>Pants &amp; Shirt</t>
  </si>
  <si>
    <t>Bullet Proof Vest/Carrier</t>
  </si>
  <si>
    <t>(835.00/5 yrs)</t>
  </si>
  <si>
    <t>Training Hours</t>
  </si>
  <si>
    <t>Oil Change &amp; Brake Inspection</t>
  </si>
  <si>
    <t>$95/6 per yr</t>
  </si>
  <si>
    <t>Tire Maintenance &amp; Replacements</t>
  </si>
  <si>
    <t>$141 Each @ 2 per year</t>
  </si>
  <si>
    <t>Brakes Replacements Annually</t>
  </si>
  <si>
    <t>Brakes-Front&amp;Rear</t>
  </si>
  <si>
    <t xml:space="preserve">Fluids, Filters, and Misc </t>
  </si>
  <si>
    <t>Annual</t>
  </si>
  <si>
    <t>Capital - Vehicle Costs</t>
  </si>
  <si>
    <t>2021 Ford Interceptor SUV</t>
  </si>
  <si>
    <t>Accessories and Upfitting</t>
  </si>
  <si>
    <t>Stationary Radar</t>
  </si>
  <si>
    <t>Radio Wiring</t>
  </si>
  <si>
    <t>VHF Radios</t>
  </si>
  <si>
    <t>First Aid Kits</t>
  </si>
  <si>
    <t>Decals</t>
  </si>
  <si>
    <t>Fire Extingisher</t>
  </si>
  <si>
    <t>AXON Camera</t>
  </si>
  <si>
    <t>**Taken from Budget Vehicle Replacements List</t>
  </si>
  <si>
    <t>LCSO Lake and North Barrington Patrol Contract 2023-2025</t>
  </si>
  <si>
    <t>Contractual LB Cost per Year</t>
  </si>
  <si>
    <t>Contractual NB Cost per Year</t>
  </si>
  <si>
    <t>19 Holidays @ 25.50 hrs/day</t>
  </si>
  <si>
    <t>25.50 Hrs per day for 365</t>
  </si>
  <si>
    <t>Lake Barrington</t>
  </si>
  <si>
    <t>North Barrington</t>
  </si>
  <si>
    <t>Patrol Portion</t>
  </si>
  <si>
    <t>Total</t>
  </si>
  <si>
    <t>Contractual Hours - LB</t>
  </si>
  <si>
    <t>Contractual Hours - NB</t>
  </si>
  <si>
    <t>**Leap Year + 25.5 hrs</t>
  </si>
  <si>
    <t>Contractual LB Cost per Month</t>
  </si>
  <si>
    <t>Contractual NB Cost per Month</t>
  </si>
  <si>
    <t>2022 LB Contract Cost</t>
  </si>
  <si>
    <t>2022 NB Contract Cost</t>
  </si>
  <si>
    <t>FY23 Budget</t>
  </si>
  <si>
    <t>TOTAL per YEAR</t>
  </si>
  <si>
    <t>TOTAL per MONTH</t>
  </si>
  <si>
    <t>Contract Year: January 1, 2023 -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</si>
</sst>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0"/>
    <numFmt numFmtId="167" formatCode="_(* #,##0.0000_);_(* \(#,##0.0000\);_(* &quot;-&quot;??_);_(@_)"/>
    <numFmt numFmtId="168" formatCode="0.0000%"/>
    <numFmt numFmtId="169" formatCode="0.000%"/>
    <numFmt numFmtId="170" formatCode="&quot;$&quot;#,##0.00"/>
    <numFmt numFmtId="171" formatCode="_(&quot;$&quot;* #,##0.0000_);_(&quot;$&quot;* \(#,##0.00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  <scheme val="minor"/>
    </font>
    <font>
      <b/>
      <u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u/>
      <sz val="12"/>
      <color indexed="9"/>
      <name val="Times New Roman"/>
      <family val="1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color rgb="FFFF0000"/>
      <name val="Arial"/>
      <family val="2"/>
    </font>
    <font>
      <i/>
      <sz val="12"/>
      <color theme="1"/>
      <name val="Times New Roman"/>
      <family val="1"/>
    </font>
    <font>
      <b/>
      <sz val="14"/>
      <color theme="0"/>
      <name val="Times New Roman"/>
      <family val="1"/>
    </font>
    <font>
      <b/>
      <sz val="16"/>
      <color theme="1"/>
      <name val="Times New Roman"/>
      <family val="1"/>
    </font>
    <font>
      <b/>
      <sz val="12"/>
      <color rgb="FFFF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1" fillId="0" borderId="0"/>
  </cellStyleXfs>
  <cellXfs count="105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9" fillId="0" borderId="0" xfId="0" applyFont="1"/>
    <xf numFmtId="0" fontId="2" fillId="0" borderId="0" xfId="0" applyFont="1"/>
    <xf numFmtId="43" fontId="0" fillId="0" borderId="0" xfId="1" applyFont="1"/>
    <xf numFmtId="0" fontId="2" fillId="0" borderId="2" xfId="0" applyFont="1" applyBorder="1"/>
    <xf numFmtId="0" fontId="9" fillId="0" borderId="0" xfId="0" quotePrefix="1" applyFont="1"/>
    <xf numFmtId="43" fontId="7" fillId="0" borderId="0" xfId="1" applyFont="1"/>
    <xf numFmtId="164" fontId="7" fillId="0" borderId="0" xfId="0" applyNumberFormat="1" applyFont="1"/>
    <xf numFmtId="0" fontId="9" fillId="3" borderId="0" xfId="0" applyFont="1" applyFill="1"/>
    <xf numFmtId="43" fontId="7" fillId="3" borderId="0" xfId="1" applyFont="1" applyFill="1"/>
    <xf numFmtId="164" fontId="7" fillId="3" borderId="0" xfId="0" applyNumberFormat="1" applyFont="1" applyFill="1"/>
    <xf numFmtId="43" fontId="7" fillId="0" borderId="0" xfId="0" applyNumberFormat="1" applyFont="1"/>
    <xf numFmtId="0" fontId="9" fillId="0" borderId="2" xfId="0" applyFont="1" applyBorder="1"/>
    <xf numFmtId="165" fontId="7" fillId="0" borderId="0" xfId="3" applyNumberFormat="1" applyFont="1"/>
    <xf numFmtId="10" fontId="7" fillId="0" borderId="0" xfId="3" applyNumberFormat="1" applyFont="1"/>
    <xf numFmtId="164" fontId="10" fillId="5" borderId="3" xfId="1" applyNumberFormat="1" applyFont="1" applyFill="1" applyBorder="1"/>
    <xf numFmtId="10" fontId="10" fillId="5" borderId="3" xfId="3" applyNumberFormat="1" applyFont="1" applyFill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5" applyFont="1"/>
    <xf numFmtId="0" fontId="14" fillId="0" borderId="0" xfId="5" applyFont="1" applyAlignment="1">
      <alignment horizontal="center"/>
    </xf>
    <xf numFmtId="0" fontId="14" fillId="0" borderId="0" xfId="5" applyFont="1"/>
    <xf numFmtId="14" fontId="15" fillId="6" borderId="0" xfId="0" applyNumberFormat="1" applyFont="1" applyFill="1" applyAlignment="1">
      <alignment horizontal="center"/>
    </xf>
    <xf numFmtId="14" fontId="16" fillId="0" borderId="0" xfId="0" applyNumberFormat="1" applyFont="1"/>
    <xf numFmtId="0" fontId="13" fillId="0" borderId="0" xfId="5" applyFont="1" applyAlignment="1">
      <alignment horizontal="right"/>
    </xf>
    <xf numFmtId="9" fontId="13" fillId="0" borderId="0" xfId="3" applyFont="1"/>
    <xf numFmtId="14" fontId="10" fillId="0" borderId="0" xfId="0" applyNumberFormat="1" applyFont="1"/>
    <xf numFmtId="0" fontId="10" fillId="0" borderId="0" xfId="5" applyFont="1"/>
    <xf numFmtId="166" fontId="10" fillId="0" borderId="0" xfId="5" applyNumberFormat="1" applyFont="1"/>
    <xf numFmtId="0" fontId="10" fillId="0" borderId="0" xfId="5" applyFont="1" applyAlignment="1">
      <alignment horizontal="right"/>
    </xf>
    <xf numFmtId="0" fontId="13" fillId="0" borderId="0" xfId="5" quotePrefix="1" applyFont="1"/>
    <xf numFmtId="0" fontId="10" fillId="0" borderId="2" xfId="5" applyFont="1" applyBorder="1" applyAlignment="1">
      <alignment horizontal="center"/>
    </xf>
    <xf numFmtId="166" fontId="10" fillId="7" borderId="0" xfId="5" applyNumberFormat="1" applyFont="1" applyFill="1"/>
    <xf numFmtId="164" fontId="0" fillId="0" borderId="2" xfId="1" applyNumberFormat="1" applyFont="1" applyBorder="1" applyAlignment="1">
      <alignment horizontal="center"/>
    </xf>
    <xf numFmtId="0" fontId="0" fillId="8" borderId="0" xfId="0" applyFill="1"/>
    <xf numFmtId="0" fontId="17" fillId="8" borderId="0" xfId="0" applyFont="1" applyFill="1"/>
    <xf numFmtId="164" fontId="17" fillId="8" borderId="3" xfId="1" applyNumberFormat="1" applyFont="1" applyFill="1" applyBorder="1"/>
    <xf numFmtId="0" fontId="17" fillId="0" borderId="0" xfId="0" applyFont="1"/>
    <xf numFmtId="164" fontId="17" fillId="0" borderId="0" xfId="1" applyNumberFormat="1" applyFont="1"/>
    <xf numFmtId="0" fontId="2" fillId="0" borderId="4" xfId="0" applyFont="1" applyBorder="1"/>
    <xf numFmtId="0" fontId="18" fillId="0" borderId="4" xfId="0" applyFont="1" applyBorder="1"/>
    <xf numFmtId="164" fontId="17" fillId="0" borderId="4" xfId="1" applyNumberFormat="1" applyFont="1" applyBorder="1"/>
    <xf numFmtId="0" fontId="18" fillId="0" borderId="0" xfId="0" applyFont="1"/>
    <xf numFmtId="168" fontId="19" fillId="7" borderId="0" xfId="3" applyNumberFormat="1" applyFont="1" applyFill="1"/>
    <xf numFmtId="168" fontId="10" fillId="5" borderId="3" xfId="3" applyNumberFormat="1" applyFont="1" applyFill="1" applyBorder="1"/>
    <xf numFmtId="0" fontId="9" fillId="9" borderId="0" xfId="0" applyFont="1" applyFill="1"/>
    <xf numFmtId="43" fontId="9" fillId="9" borderId="0" xfId="1" applyFont="1" applyFill="1"/>
    <xf numFmtId="2" fontId="7" fillId="0" borderId="0" xfId="0" applyNumberFormat="1" applyFont="1"/>
    <xf numFmtId="2" fontId="7" fillId="0" borderId="2" xfId="0" applyNumberFormat="1" applyFont="1" applyBorder="1"/>
    <xf numFmtId="169" fontId="7" fillId="0" borderId="0" xfId="3" applyNumberFormat="1" applyFont="1"/>
    <xf numFmtId="43" fontId="7" fillId="0" borderId="2" xfId="1" applyFont="1" applyBorder="1"/>
    <xf numFmtId="169" fontId="7" fillId="0" borderId="0" xfId="0" applyNumberFormat="1" applyFont="1"/>
    <xf numFmtId="169" fontId="7" fillId="0" borderId="2" xfId="3" applyNumberFormat="1" applyFont="1" applyBorder="1"/>
    <xf numFmtId="0" fontId="9" fillId="0" borderId="5" xfId="0" applyFont="1" applyBorder="1"/>
    <xf numFmtId="0" fontId="9" fillId="9" borderId="0" xfId="0" applyFont="1" applyFill="1" applyAlignment="1">
      <alignment horizontal="center"/>
    </xf>
    <xf numFmtId="167" fontId="7" fillId="0" borderId="0" xfId="0" applyNumberFormat="1" applyFont="1"/>
    <xf numFmtId="167" fontId="10" fillId="7" borderId="0" xfId="0" applyNumberFormat="1" applyFont="1" applyFill="1"/>
    <xf numFmtId="0" fontId="20" fillId="0" borderId="0" xfId="0" applyFont="1"/>
    <xf numFmtId="0" fontId="20" fillId="0" borderId="0" xfId="0" quotePrefix="1" applyFont="1"/>
    <xf numFmtId="0" fontId="20" fillId="0" borderId="2" xfId="0" applyFont="1" applyBorder="1"/>
    <xf numFmtId="10" fontId="21" fillId="7" borderId="0" xfId="0" applyNumberFormat="1" applyFont="1" applyFill="1"/>
    <xf numFmtId="0" fontId="22" fillId="0" borderId="0" xfId="0" applyFont="1"/>
    <xf numFmtId="44" fontId="7" fillId="0" borderId="0" xfId="2" applyFont="1"/>
    <xf numFmtId="44" fontId="7" fillId="0" borderId="2" xfId="2" applyFont="1" applyBorder="1"/>
    <xf numFmtId="0" fontId="23" fillId="2" borderId="0" xfId="4" applyFont="1"/>
    <xf numFmtId="171" fontId="10" fillId="5" borderId="3" xfId="2" applyNumberFormat="1" applyFont="1" applyFill="1" applyBorder="1"/>
    <xf numFmtId="43" fontId="7" fillId="8" borderId="3" xfId="1" applyFont="1" applyFill="1" applyBorder="1"/>
    <xf numFmtId="0" fontId="7" fillId="0" borderId="0" xfId="0" applyFont="1" applyAlignment="1">
      <alignment horizontal="left"/>
    </xf>
    <xf numFmtId="43" fontId="7" fillId="0" borderId="0" xfId="1" applyFont="1" applyBorder="1"/>
    <xf numFmtId="171" fontId="7" fillId="0" borderId="0" xfId="0" applyNumberFormat="1" applyFont="1"/>
    <xf numFmtId="171" fontId="7" fillId="0" borderId="2" xfId="0" applyNumberFormat="1" applyFont="1" applyBorder="1"/>
    <xf numFmtId="171" fontId="9" fillId="0" borderId="9" xfId="0" applyNumberFormat="1" applyFont="1" applyBorder="1"/>
    <xf numFmtId="0" fontId="7" fillId="4" borderId="0" xfId="0" applyFont="1" applyFill="1"/>
    <xf numFmtId="170" fontId="9" fillId="0" borderId="10" xfId="0" applyNumberFormat="1" applyFont="1" applyBorder="1"/>
    <xf numFmtId="0" fontId="9" fillId="7" borderId="0" xfId="0" applyFont="1" applyFill="1"/>
    <xf numFmtId="44" fontId="9" fillId="7" borderId="0" xfId="0" applyNumberFormat="1" applyFont="1" applyFill="1"/>
    <xf numFmtId="168" fontId="9" fillId="7" borderId="0" xfId="3" applyNumberFormat="1" applyFont="1" applyFill="1"/>
    <xf numFmtId="0" fontId="4" fillId="0" borderId="0" xfId="0" applyFont="1"/>
    <xf numFmtId="0" fontId="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0" fontId="9" fillId="0" borderId="0" xfId="1" applyNumberFormat="1" applyFont="1" applyBorder="1"/>
    <xf numFmtId="164" fontId="10" fillId="5" borderId="0" xfId="1" applyNumberFormat="1" applyFont="1" applyFill="1" applyBorder="1"/>
    <xf numFmtId="0" fontId="9" fillId="0" borderId="11" xfId="0" applyFont="1" applyBorder="1"/>
    <xf numFmtId="0" fontId="7" fillId="0" borderId="11" xfId="0" applyFont="1" applyBorder="1"/>
    <xf numFmtId="170" fontId="9" fillId="0" borderId="11" xfId="1" applyNumberFormat="1" applyFont="1" applyBorder="1"/>
    <xf numFmtId="170" fontId="9" fillId="0" borderId="7" xfId="1" applyNumberFormat="1" applyFont="1" applyBorder="1"/>
    <xf numFmtId="170" fontId="9" fillId="0" borderId="0" xfId="0" applyNumberFormat="1" applyFont="1"/>
    <xf numFmtId="170" fontId="7" fillId="0" borderId="0" xfId="0" applyNumberFormat="1" applyFont="1"/>
    <xf numFmtId="10" fontId="10" fillId="0" borderId="0" xfId="3" applyNumberFormat="1" applyFont="1"/>
    <xf numFmtId="10" fontId="10" fillId="10" borderId="0" xfId="3" applyNumberFormat="1" applyFont="1" applyFill="1"/>
    <xf numFmtId="0" fontId="24" fillId="3" borderId="1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12" fillId="0" borderId="0" xfId="5" applyFont="1" applyAlignment="1">
      <alignment horizontal="center"/>
    </xf>
    <xf numFmtId="0" fontId="10" fillId="0" borderId="2" xfId="5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6">
    <cellStyle name="Accent3" xfId="4" builtinId="37"/>
    <cellStyle name="Comma" xfId="1" builtinId="3"/>
    <cellStyle name="Currency" xfId="2" builtinId="4"/>
    <cellStyle name="Normal" xfId="0" builtinId="0"/>
    <cellStyle name="Normal 2" xfId="5" xr:uid="{FEF9FE5A-A27F-46F4-BB62-F90799326CE3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C33B-5DE2-4180-80FE-045B6C2342DC}">
  <dimension ref="A1:H304"/>
  <sheetViews>
    <sheetView tabSelected="1" workbookViewId="0">
      <selection activeCell="E4" sqref="E4"/>
    </sheetView>
  </sheetViews>
  <sheetFormatPr defaultColWidth="9.140625" defaultRowHeight="15" x14ac:dyDescent="0.25"/>
  <cols>
    <col min="1" max="1" width="31.7109375" style="1" customWidth="1"/>
    <col min="2" max="2" width="9.7109375" style="1" customWidth="1"/>
    <col min="3" max="3" width="13" style="1" customWidth="1"/>
    <col min="4" max="4" width="9.140625" style="1"/>
    <col min="5" max="5" width="21.28515625" style="1" customWidth="1"/>
    <col min="6" max="6" width="22.7109375" style="1" customWidth="1"/>
    <col min="7" max="7" width="21.28515625" style="1" customWidth="1"/>
    <col min="8" max="16384" width="9.140625" style="1"/>
  </cols>
  <sheetData>
    <row r="1" spans="1:8" ht="20.45" x14ac:dyDescent="0.35">
      <c r="A1" s="95" t="s">
        <v>196</v>
      </c>
      <c r="B1" s="96"/>
      <c r="C1" s="96"/>
      <c r="D1" s="96"/>
      <c r="E1" s="96"/>
      <c r="F1" s="96"/>
      <c r="G1" s="96"/>
      <c r="H1" s="82"/>
    </row>
    <row r="2" spans="1:8" ht="17.45" x14ac:dyDescent="0.3">
      <c r="A2" s="97" t="s">
        <v>215</v>
      </c>
      <c r="B2" s="97"/>
      <c r="C2" s="97"/>
      <c r="D2" s="97"/>
      <c r="E2" s="97"/>
      <c r="F2" s="97"/>
      <c r="G2" s="97"/>
      <c r="H2" s="83"/>
    </row>
    <row r="3" spans="1:8" s="2" customFormat="1" ht="15.6" x14ac:dyDescent="0.3"/>
    <row r="4" spans="1:8" s="2" customFormat="1" ht="15.6" x14ac:dyDescent="0.3">
      <c r="A4" s="2" t="s">
        <v>0</v>
      </c>
      <c r="C4" s="19">
        <v>2063</v>
      </c>
    </row>
    <row r="5" spans="1:8" s="2" customFormat="1" ht="15.6" x14ac:dyDescent="0.3">
      <c r="A5" s="2" t="s">
        <v>1</v>
      </c>
      <c r="C5" s="20">
        <v>2.5000000000000001E-2</v>
      </c>
      <c r="D5" s="66"/>
    </row>
    <row r="6" spans="1:8" s="2" customFormat="1" ht="15.6" x14ac:dyDescent="0.3">
      <c r="A6" s="2" t="s">
        <v>205</v>
      </c>
      <c r="C6" s="19">
        <f>'Hours per Yr'!B13</f>
        <v>6658.56</v>
      </c>
    </row>
    <row r="7" spans="1:8" s="2" customFormat="1" ht="15.6" x14ac:dyDescent="0.3">
      <c r="A7" s="2" t="s">
        <v>206</v>
      </c>
      <c r="C7" s="86">
        <f>'Hours per Yr'!B14</f>
        <v>3133.44</v>
      </c>
    </row>
    <row r="8" spans="1:8" s="2" customFormat="1" ht="15.6" x14ac:dyDescent="0.3">
      <c r="F8" s="23"/>
    </row>
    <row r="9" spans="1:8" s="2" customFormat="1" ht="15.6" x14ac:dyDescent="0.3">
      <c r="C9" s="84" t="s">
        <v>41</v>
      </c>
      <c r="E9" s="22">
        <v>2023</v>
      </c>
      <c r="F9" s="22">
        <v>2024</v>
      </c>
      <c r="G9" s="22">
        <v>2025</v>
      </c>
    </row>
    <row r="10" spans="1:8" s="2" customFormat="1" ht="15.6" x14ac:dyDescent="0.3">
      <c r="A10" s="3" t="s">
        <v>2</v>
      </c>
      <c r="B10" s="3"/>
    </row>
    <row r="11" spans="1:8" s="2" customFormat="1" ht="15.6" x14ac:dyDescent="0.3">
      <c r="A11" s="2" t="s">
        <v>3</v>
      </c>
      <c r="C11" s="70">
        <f>Personnel!H16</f>
        <v>47.169906667987497</v>
      </c>
      <c r="E11" s="74">
        <f>C11</f>
        <v>47.169906667987497</v>
      </c>
      <c r="F11" s="74">
        <f>E11*(1+$C$5)</f>
        <v>48.349154334687178</v>
      </c>
      <c r="G11" s="74">
        <f>F11*(1+$C$5)</f>
        <v>49.557883193054352</v>
      </c>
    </row>
    <row r="12" spans="1:8" s="2" customFormat="1" ht="15.6" x14ac:dyDescent="0.3">
      <c r="A12" s="2" t="s">
        <v>4</v>
      </c>
      <c r="C12" s="49">
        <f>'Indirect Costs'!D54</f>
        <v>0.18198583291325834</v>
      </c>
      <c r="E12" s="75">
        <f>E11*$C$12</f>
        <v>8.5842547534143634</v>
      </c>
      <c r="F12" s="75">
        <f>F11*$C$12</f>
        <v>8.7988611222497219</v>
      </c>
      <c r="G12" s="75">
        <f>G11*$C$12</f>
        <v>9.0188326503059635</v>
      </c>
    </row>
    <row r="13" spans="1:8" s="2" customFormat="1" ht="15.6" x14ac:dyDescent="0.3">
      <c r="E13" s="74">
        <f>SUM(E11:E12)</f>
        <v>55.754161421401861</v>
      </c>
      <c r="F13" s="74">
        <f>SUM(F11:F12)</f>
        <v>57.148015456936903</v>
      </c>
      <c r="G13" s="74">
        <f>SUM(G11:G12)</f>
        <v>58.576715843360319</v>
      </c>
    </row>
    <row r="14" spans="1:8" s="2" customFormat="1" ht="15.6" x14ac:dyDescent="0.3"/>
    <row r="15" spans="1:8" s="2" customFormat="1" ht="15.6" x14ac:dyDescent="0.3">
      <c r="A15" s="4" t="s">
        <v>5</v>
      </c>
    </row>
    <row r="16" spans="1:8" s="2" customFormat="1" ht="15.6" x14ac:dyDescent="0.3">
      <c r="A16" s="2" t="s">
        <v>6</v>
      </c>
      <c r="C16" s="70">
        <f>Benefits!M7</f>
        <v>9.1985181233627067</v>
      </c>
      <c r="E16" s="74">
        <f>C16</f>
        <v>9.1985181233627067</v>
      </c>
      <c r="F16" s="74">
        <f>E16*(1+$C$5)</f>
        <v>9.4284810764467739</v>
      </c>
      <c r="G16" s="74">
        <f>F16*(1+$C$5)</f>
        <v>9.6641931033579418</v>
      </c>
    </row>
    <row r="17" spans="1:7" s="2" customFormat="1" ht="15.6" x14ac:dyDescent="0.3">
      <c r="A17" s="2" t="s">
        <v>7</v>
      </c>
      <c r="C17" s="70">
        <f>Benefits!M25</f>
        <v>0.26417286914765903</v>
      </c>
      <c r="E17" s="74">
        <f>C17</f>
        <v>0.26417286914765903</v>
      </c>
      <c r="F17" s="74">
        <f>E17*(1+$C$5)</f>
        <v>0.27077719087635049</v>
      </c>
      <c r="G17" s="74">
        <f t="shared" ref="G17:G18" si="0">F17*(1+$C$5)</f>
        <v>0.27754662064825925</v>
      </c>
    </row>
    <row r="18" spans="1:7" s="2" customFormat="1" ht="15.6" x14ac:dyDescent="0.3">
      <c r="A18" s="2" t="s">
        <v>8</v>
      </c>
      <c r="C18" s="70">
        <f>Benefits!F35</f>
        <v>3.5291353528968741E-3</v>
      </c>
      <c r="E18" s="74">
        <f>C18</f>
        <v>3.5291353528968741E-3</v>
      </c>
      <c r="F18" s="74">
        <f>E18*(1+$C$5)</f>
        <v>3.6173637367192956E-3</v>
      </c>
      <c r="G18" s="74">
        <f t="shared" si="0"/>
        <v>3.7077978301372776E-3</v>
      </c>
    </row>
    <row r="19" spans="1:7" s="2" customFormat="1" ht="15.6" x14ac:dyDescent="0.3">
      <c r="A19" s="2" t="s">
        <v>9</v>
      </c>
      <c r="C19" s="49">
        <f>Benefits!I31</f>
        <v>7.6499999999999999E-2</v>
      </c>
      <c r="E19" s="74">
        <f>E11*$C$19</f>
        <v>3.6084978601010436</v>
      </c>
      <c r="F19" s="74">
        <f>F11*$C$19</f>
        <v>3.6987103066035689</v>
      </c>
      <c r="G19" s="74">
        <f>G11*$C$19</f>
        <v>3.7911780642686579</v>
      </c>
    </row>
    <row r="20" spans="1:7" s="2" customFormat="1" ht="15.6" x14ac:dyDescent="0.3">
      <c r="A20" s="2" t="s">
        <v>10</v>
      </c>
      <c r="C20" s="49">
        <f>Benefits!I32</f>
        <v>0.17810000000000001</v>
      </c>
      <c r="E20" s="75">
        <f>E11*$C$20</f>
        <v>8.4009603775685733</v>
      </c>
      <c r="F20" s="75">
        <f>F11*$C$20</f>
        <v>8.610984387007786</v>
      </c>
      <c r="G20" s="75">
        <f>G11*$C$20</f>
        <v>8.8262589966829808</v>
      </c>
    </row>
    <row r="21" spans="1:7" s="2" customFormat="1" ht="15.6" x14ac:dyDescent="0.3">
      <c r="E21" s="74">
        <f>SUM(E16:E20)</f>
        <v>21.475678365532879</v>
      </c>
      <c r="F21" s="74">
        <f>SUM(F16:F20)</f>
        <v>22.012570324671199</v>
      </c>
      <c r="G21" s="74">
        <f>SUM(G16:G20)</f>
        <v>22.562884582787976</v>
      </c>
    </row>
    <row r="22" spans="1:7" s="2" customFormat="1" ht="15.6" x14ac:dyDescent="0.3"/>
    <row r="23" spans="1:7" s="2" customFormat="1" ht="15.6" x14ac:dyDescent="0.3">
      <c r="A23" s="4" t="s">
        <v>11</v>
      </c>
    </row>
    <row r="24" spans="1:7" s="2" customFormat="1" ht="15.6" x14ac:dyDescent="0.3">
      <c r="A24" s="2" t="s">
        <v>12</v>
      </c>
      <c r="C24" s="70">
        <f>Commodities!B3/'Rate Schedule'!C4</f>
        <v>2.0888259815802228</v>
      </c>
      <c r="E24" s="74">
        <f>C24</f>
        <v>2.0888259815802228</v>
      </c>
      <c r="F24" s="74">
        <v>2.0888259815802228</v>
      </c>
      <c r="G24" s="74">
        <v>2.0888259815802228</v>
      </c>
    </row>
    <row r="25" spans="1:7" s="2" customFormat="1" ht="15.6" x14ac:dyDescent="0.3">
      <c r="A25" s="2" t="s">
        <v>13</v>
      </c>
      <c r="C25" s="70">
        <f>Commodities!B8/'Rate Schedule'!C4</f>
        <v>0.2506059137178866</v>
      </c>
      <c r="E25" s="75">
        <f>C25</f>
        <v>0.2506059137178866</v>
      </c>
      <c r="F25" s="75">
        <v>0.2506059137178866</v>
      </c>
      <c r="G25" s="75">
        <v>0.2506059137178866</v>
      </c>
    </row>
    <row r="26" spans="1:7" s="2" customFormat="1" ht="15.6" x14ac:dyDescent="0.3">
      <c r="E26" s="74">
        <f>SUM(E24:E25)</f>
        <v>2.3394318952981092</v>
      </c>
      <c r="F26" s="74">
        <f>SUM(F24:F25)</f>
        <v>2.3394318952981092</v>
      </c>
      <c r="G26" s="74">
        <f>SUM(G24:G25)</f>
        <v>2.3394318952981092</v>
      </c>
    </row>
    <row r="27" spans="1:7" s="2" customFormat="1" ht="15.6" x14ac:dyDescent="0.3"/>
    <row r="28" spans="1:7" s="2" customFormat="1" ht="15.6" x14ac:dyDescent="0.3">
      <c r="A28" s="4" t="s">
        <v>14</v>
      </c>
    </row>
    <row r="29" spans="1:7" s="2" customFormat="1" ht="15.6" x14ac:dyDescent="0.3">
      <c r="A29" s="2" t="s">
        <v>15</v>
      </c>
      <c r="C29" s="70">
        <f>Contractuals!B3/'Rate Schedule'!C4</f>
        <v>1.1432357408625182</v>
      </c>
      <c r="E29" s="74">
        <f>C29</f>
        <v>1.1432357408625182</v>
      </c>
      <c r="F29" s="74">
        <v>1.1432357408625182</v>
      </c>
      <c r="G29" s="74">
        <v>1.1432357408625182</v>
      </c>
    </row>
    <row r="30" spans="1:7" s="2" customFormat="1" ht="15.75" x14ac:dyDescent="0.25">
      <c r="A30" s="2" t="s">
        <v>16</v>
      </c>
      <c r="C30" s="70">
        <f>Contractuals!B8/'Rate Schedule'!C4</f>
        <v>0.69171110033931171</v>
      </c>
      <c r="E30" s="75">
        <f>C30</f>
        <v>0.69171110033931171</v>
      </c>
      <c r="F30" s="75">
        <v>0.69171110033931171</v>
      </c>
      <c r="G30" s="75">
        <v>0.69171110033931171</v>
      </c>
    </row>
    <row r="31" spans="1:7" s="2" customFormat="1" ht="15.75" x14ac:dyDescent="0.25">
      <c r="E31" s="74">
        <f>SUM(E29:E30)</f>
        <v>1.8349468412018299</v>
      </c>
      <c r="F31" s="74">
        <f>SUM(F29:F30)</f>
        <v>1.8349468412018299</v>
      </c>
      <c r="G31" s="74">
        <f>SUM(G29:G30)</f>
        <v>1.8349468412018299</v>
      </c>
    </row>
    <row r="32" spans="1:7" s="2" customFormat="1" ht="15.75" x14ac:dyDescent="0.25"/>
    <row r="33" spans="1:7" s="2" customFormat="1" ht="15.75" x14ac:dyDescent="0.25">
      <c r="A33" s="4" t="s">
        <v>17</v>
      </c>
    </row>
    <row r="34" spans="1:7" s="2" customFormat="1" ht="15.75" x14ac:dyDescent="0.25">
      <c r="A34" s="2" t="s">
        <v>18</v>
      </c>
      <c r="C34" s="70">
        <f>Capital!B4/'Rate Schedule'!C4</f>
        <v>26.237605428986917</v>
      </c>
      <c r="E34" s="75">
        <f>C34</f>
        <v>26.237605428986917</v>
      </c>
      <c r="F34" s="75">
        <v>26.237605428986917</v>
      </c>
      <c r="G34" s="75">
        <v>26.237605428986917</v>
      </c>
    </row>
    <row r="35" spans="1:7" s="2" customFormat="1" ht="15.75" x14ac:dyDescent="0.25">
      <c r="E35" s="74">
        <f>SUM(E33:E34)</f>
        <v>26.237605428986917</v>
      </c>
      <c r="F35" s="74">
        <f>SUM(F33:F34)</f>
        <v>26.237605428986917</v>
      </c>
      <c r="G35" s="74">
        <f>SUM(G33:G34)</f>
        <v>26.237605428986917</v>
      </c>
    </row>
    <row r="36" spans="1:7" s="2" customFormat="1" ht="15.75" x14ac:dyDescent="0.25"/>
    <row r="37" spans="1:7" s="2" customFormat="1" ht="16.5" thickBot="1" x14ac:dyDescent="0.3">
      <c r="A37" s="5" t="s">
        <v>19</v>
      </c>
      <c r="B37" s="5"/>
      <c r="E37" s="76">
        <f>SUM(E13,E21,E26,E31,E35)</f>
        <v>107.64182395242159</v>
      </c>
      <c r="F37" s="76">
        <f t="shared" ref="F37:G37" si="1">SUM(F13,F21,F26,F31,F35)</f>
        <v>109.57256994709496</v>
      </c>
      <c r="G37" s="76">
        <f t="shared" si="1"/>
        <v>111.55158459163513</v>
      </c>
    </row>
    <row r="38" spans="1:7" s="2" customFormat="1" ht="15.75" x14ac:dyDescent="0.25"/>
    <row r="39" spans="1:7" s="2" customFormat="1" ht="6" customHeight="1" x14ac:dyDescent="0.25">
      <c r="A39" s="77"/>
      <c r="B39" s="77"/>
      <c r="C39" s="77"/>
      <c r="D39" s="77"/>
      <c r="E39" s="77"/>
      <c r="F39" s="77"/>
      <c r="G39" s="77"/>
    </row>
    <row r="40" spans="1:7" s="2" customFormat="1" ht="15.75" x14ac:dyDescent="0.25"/>
    <row r="41" spans="1:7" s="2" customFormat="1" ht="15.75" x14ac:dyDescent="0.25">
      <c r="A41" s="5" t="s">
        <v>197</v>
      </c>
      <c r="B41" s="5"/>
      <c r="E41" s="90">
        <f>E37*$C$6</f>
        <v>716739.54329663632</v>
      </c>
      <c r="F41" s="90">
        <f>F37*($C$6+25.5)</f>
        <v>732389.63188057963</v>
      </c>
      <c r="G41" s="90">
        <f t="shared" ref="G41" si="2">G37*$C$6</f>
        <v>742772.91909847804</v>
      </c>
    </row>
    <row r="42" spans="1:7" s="2" customFormat="1" ht="16.5" thickBot="1" x14ac:dyDescent="0.3">
      <c r="A42" s="87" t="s">
        <v>198</v>
      </c>
      <c r="B42" s="87"/>
      <c r="C42" s="88"/>
      <c r="D42" s="88"/>
      <c r="E42" s="89">
        <f>E37*$C$7</f>
        <v>337289.19684547593</v>
      </c>
      <c r="F42" s="89">
        <f>F37*($C$7+25.5)</f>
        <v>346133.17410867615</v>
      </c>
      <c r="G42" s="89">
        <f t="shared" ref="G42" si="3">G37*$C$7</f>
        <v>349540.19722281321</v>
      </c>
    </row>
    <row r="43" spans="1:7" s="2" customFormat="1" ht="15.75" x14ac:dyDescent="0.25">
      <c r="A43" s="5" t="s">
        <v>213</v>
      </c>
      <c r="B43" s="5"/>
      <c r="E43" s="85">
        <f>SUM(E41:E42)</f>
        <v>1054028.7401421121</v>
      </c>
      <c r="F43" s="85">
        <f>SUM(F41:F42)</f>
        <v>1078522.8059892557</v>
      </c>
      <c r="G43" s="85">
        <f>SUM(G41:G42)</f>
        <v>1092313.1163212913</v>
      </c>
    </row>
    <row r="44" spans="1:7" s="2" customFormat="1" ht="15.75" x14ac:dyDescent="0.25">
      <c r="A44" s="5"/>
      <c r="B44" s="5"/>
      <c r="F44" s="23" t="s">
        <v>207</v>
      </c>
    </row>
    <row r="45" spans="1:7" s="2" customFormat="1" ht="15.75" x14ac:dyDescent="0.25">
      <c r="A45" s="5" t="s">
        <v>214</v>
      </c>
      <c r="B45" s="5"/>
      <c r="E45" s="92">
        <f>E43/12</f>
        <v>87835.728345176016</v>
      </c>
      <c r="F45" s="92">
        <f>F43/12</f>
        <v>89876.900499104639</v>
      </c>
      <c r="G45" s="92">
        <f>G43/12</f>
        <v>91026.093026774281</v>
      </c>
    </row>
    <row r="46" spans="1:7" s="2" customFormat="1" ht="15.75" x14ac:dyDescent="0.25">
      <c r="A46" s="5"/>
      <c r="B46" s="5"/>
    </row>
    <row r="47" spans="1:7" s="2" customFormat="1" ht="15.75" x14ac:dyDescent="0.25">
      <c r="A47" s="5"/>
      <c r="B47" s="5"/>
    </row>
    <row r="48" spans="1:7" s="2" customFormat="1" ht="16.5" thickBot="1" x14ac:dyDescent="0.3">
      <c r="A48" s="5" t="s">
        <v>208</v>
      </c>
      <c r="B48" s="5"/>
      <c r="E48" s="78">
        <f>E41/12</f>
        <v>59728.29527471969</v>
      </c>
      <c r="F48" s="78">
        <f t="shared" ref="F48:G48" si="4">F41/12</f>
        <v>61032.469323381636</v>
      </c>
      <c r="G48" s="78">
        <f t="shared" si="4"/>
        <v>61897.743258206501</v>
      </c>
    </row>
    <row r="49" spans="1:7" s="2" customFormat="1" ht="16.5" thickTop="1" x14ac:dyDescent="0.25">
      <c r="A49" s="5" t="s">
        <v>209</v>
      </c>
      <c r="B49" s="5"/>
      <c r="E49" s="91">
        <f>E42/12</f>
        <v>28107.433070456329</v>
      </c>
      <c r="F49" s="91">
        <f t="shared" ref="F49:G49" si="5">F42/12</f>
        <v>28844.431175723013</v>
      </c>
      <c r="G49" s="91">
        <f t="shared" si="5"/>
        <v>29128.349768567768</v>
      </c>
    </row>
    <row r="50" spans="1:7" s="2" customFormat="1" ht="15.75" x14ac:dyDescent="0.25">
      <c r="A50" s="5"/>
      <c r="B50" s="5"/>
      <c r="F50" s="18">
        <f>(F48-E48)/E48</f>
        <v>2.1835112531898161E-2</v>
      </c>
      <c r="G50" s="18">
        <f>(G48-F48)/F48</f>
        <v>1.417727226863779E-2</v>
      </c>
    </row>
    <row r="51" spans="1:7" s="2" customFormat="1" ht="15.75" x14ac:dyDescent="0.25">
      <c r="A51" s="5"/>
      <c r="B51" s="5"/>
      <c r="F51" s="18">
        <f>(F49-E49)/E49</f>
        <v>2.6220754610329102E-2</v>
      </c>
      <c r="G51" s="18">
        <f>(G49-F49)/F49</f>
        <v>9.8430990410279199E-3</v>
      </c>
    </row>
    <row r="52" spans="1:7" s="2" customFormat="1" ht="15.75" x14ac:dyDescent="0.25">
      <c r="A52" s="79" t="s">
        <v>210</v>
      </c>
      <c r="B52" s="79"/>
      <c r="C52" s="80">
        <v>47967.28</v>
      </c>
      <c r="D52" s="79"/>
      <c r="E52" s="81">
        <f>(E48-C52)/C52</f>
        <v>0.2451882882398104</v>
      </c>
    </row>
    <row r="53" spans="1:7" s="2" customFormat="1" ht="15.75" x14ac:dyDescent="0.25">
      <c r="A53" s="79" t="s">
        <v>211</v>
      </c>
      <c r="B53" s="79"/>
      <c r="C53" s="80">
        <v>35455.629999999997</v>
      </c>
      <c r="D53" s="79"/>
      <c r="E53" s="81">
        <f>(E49-C53)/C53</f>
        <v>-0.20725049673475465</v>
      </c>
    </row>
    <row r="54" spans="1:7" s="2" customFormat="1" ht="15.75" x14ac:dyDescent="0.25"/>
    <row r="55" spans="1:7" s="2" customFormat="1" ht="15.75" x14ac:dyDescent="0.25"/>
    <row r="56" spans="1:7" s="2" customFormat="1" ht="15.75" x14ac:dyDescent="0.25"/>
    <row r="57" spans="1:7" s="2" customFormat="1" ht="15.75" x14ac:dyDescent="0.25"/>
    <row r="58" spans="1:7" s="2" customFormat="1" ht="15.75" x14ac:dyDescent="0.25"/>
    <row r="59" spans="1:7" s="2" customFormat="1" ht="15.75" x14ac:dyDescent="0.25"/>
    <row r="60" spans="1:7" s="2" customFormat="1" ht="15.75" x14ac:dyDescent="0.25"/>
    <row r="61" spans="1:7" s="2" customFormat="1" ht="15.75" x14ac:dyDescent="0.25"/>
    <row r="62" spans="1:7" s="2" customFormat="1" ht="15.75" x14ac:dyDescent="0.25"/>
    <row r="63" spans="1:7" s="2" customFormat="1" ht="15.75" x14ac:dyDescent="0.25"/>
    <row r="64" spans="1:7" s="2" customFormat="1" ht="15.75" x14ac:dyDescent="0.25"/>
    <row r="65" s="2" customFormat="1" ht="15.75" x14ac:dyDescent="0.25"/>
    <row r="66" s="2" customFormat="1" ht="15.75" x14ac:dyDescent="0.25"/>
    <row r="67" s="2" customFormat="1" ht="15.75" x14ac:dyDescent="0.25"/>
    <row r="68" s="2" customFormat="1" ht="15.75" x14ac:dyDescent="0.25"/>
    <row r="69" s="2" customFormat="1" ht="15.75" x14ac:dyDescent="0.25"/>
    <row r="70" s="2" customFormat="1" ht="15.75" x14ac:dyDescent="0.25"/>
    <row r="71" s="2" customFormat="1" ht="15.75" x14ac:dyDescent="0.25"/>
    <row r="72" s="2" customFormat="1" ht="15.75" x14ac:dyDescent="0.25"/>
    <row r="73" s="2" customFormat="1" ht="15.75" x14ac:dyDescent="0.25"/>
    <row r="74" s="2" customFormat="1" ht="15.75" x14ac:dyDescent="0.25"/>
    <row r="75" s="2" customFormat="1" ht="15.75" x14ac:dyDescent="0.25"/>
    <row r="76" s="2" customFormat="1" ht="15.75" x14ac:dyDescent="0.25"/>
    <row r="77" s="2" customFormat="1" ht="15.75" x14ac:dyDescent="0.25"/>
    <row r="78" s="2" customFormat="1" ht="15.75" x14ac:dyDescent="0.25"/>
    <row r="79" s="2" customFormat="1" ht="15.75" x14ac:dyDescent="0.25"/>
    <row r="80" s="2" customFormat="1" ht="15.75" x14ac:dyDescent="0.25"/>
    <row r="81" s="2" customFormat="1" ht="15.75" x14ac:dyDescent="0.25"/>
    <row r="82" s="2" customFormat="1" ht="15.75" x14ac:dyDescent="0.25"/>
    <row r="83" s="2" customFormat="1" ht="15.75" x14ac:dyDescent="0.25"/>
    <row r="84" s="2" customFormat="1" ht="15.75" x14ac:dyDescent="0.25"/>
    <row r="85" s="2" customFormat="1" ht="15.75" x14ac:dyDescent="0.25"/>
    <row r="86" s="2" customFormat="1" ht="15.75" x14ac:dyDescent="0.25"/>
    <row r="87" s="2" customFormat="1" ht="15.75" x14ac:dyDescent="0.25"/>
    <row r="88" s="2" customFormat="1" ht="15.75" x14ac:dyDescent="0.25"/>
    <row r="89" s="2" customFormat="1" ht="15.75" x14ac:dyDescent="0.25"/>
    <row r="90" s="2" customFormat="1" ht="15.75" x14ac:dyDescent="0.25"/>
    <row r="91" s="2" customFormat="1" ht="15.75" x14ac:dyDescent="0.25"/>
    <row r="92" s="2" customFormat="1" ht="15.75" x14ac:dyDescent="0.25"/>
    <row r="93" s="2" customFormat="1" ht="15.75" x14ac:dyDescent="0.25"/>
    <row r="94" s="2" customFormat="1" ht="15.75" x14ac:dyDescent="0.25"/>
    <row r="95" s="2" customFormat="1" ht="15.75" x14ac:dyDescent="0.25"/>
    <row r="96" s="2" customFormat="1" ht="15.75" x14ac:dyDescent="0.25"/>
    <row r="97" s="2" customFormat="1" ht="15.75" x14ac:dyDescent="0.25"/>
    <row r="98" s="2" customFormat="1" ht="15.75" x14ac:dyDescent="0.25"/>
    <row r="99" s="2" customFormat="1" ht="15.75" x14ac:dyDescent="0.25"/>
    <row r="100" s="2" customFormat="1" ht="15.75" x14ac:dyDescent="0.25"/>
    <row r="101" s="2" customFormat="1" ht="15.75" x14ac:dyDescent="0.25"/>
    <row r="102" s="2" customFormat="1" ht="15.75" x14ac:dyDescent="0.25"/>
    <row r="103" s="2" customFormat="1" ht="15.75" x14ac:dyDescent="0.25"/>
    <row r="104" s="2" customFormat="1" ht="15.75" x14ac:dyDescent="0.25"/>
    <row r="105" s="2" customFormat="1" ht="15.75" x14ac:dyDescent="0.25"/>
    <row r="106" s="2" customFormat="1" ht="15.75" x14ac:dyDescent="0.25"/>
    <row r="107" s="2" customFormat="1" ht="15.75" x14ac:dyDescent="0.25"/>
    <row r="108" s="2" customFormat="1" ht="15.75" x14ac:dyDescent="0.25"/>
    <row r="109" s="2" customFormat="1" ht="15.75" x14ac:dyDescent="0.25"/>
    <row r="110" s="2" customFormat="1" ht="15.75" x14ac:dyDescent="0.25"/>
    <row r="111" s="2" customFormat="1" ht="15.75" x14ac:dyDescent="0.25"/>
    <row r="112" s="2" customFormat="1" ht="15.75" x14ac:dyDescent="0.25"/>
    <row r="113" s="2" customFormat="1" ht="15.75" x14ac:dyDescent="0.25"/>
    <row r="114" s="2" customFormat="1" ht="15.75" x14ac:dyDescent="0.25"/>
    <row r="115" s="2" customFormat="1" ht="15.75" x14ac:dyDescent="0.25"/>
    <row r="116" s="2" customFormat="1" ht="15.75" x14ac:dyDescent="0.25"/>
    <row r="117" s="2" customFormat="1" ht="15.75" x14ac:dyDescent="0.25"/>
    <row r="118" s="2" customFormat="1" ht="15.75" x14ac:dyDescent="0.25"/>
    <row r="119" s="2" customFormat="1" ht="15.75" x14ac:dyDescent="0.25"/>
    <row r="120" s="2" customFormat="1" ht="15.75" x14ac:dyDescent="0.25"/>
    <row r="121" s="2" customFormat="1" ht="15.75" x14ac:dyDescent="0.25"/>
    <row r="122" s="2" customFormat="1" ht="15.75" x14ac:dyDescent="0.25"/>
    <row r="123" s="2" customFormat="1" ht="15.75" x14ac:dyDescent="0.25"/>
    <row r="124" s="2" customFormat="1" ht="15.75" x14ac:dyDescent="0.25"/>
    <row r="125" s="2" customFormat="1" ht="15.75" x14ac:dyDescent="0.25"/>
    <row r="126" s="2" customFormat="1" ht="15.75" x14ac:dyDescent="0.25"/>
    <row r="127" s="2" customFormat="1" ht="15.75" x14ac:dyDescent="0.25"/>
    <row r="128" s="2" customFormat="1" ht="15.75" x14ac:dyDescent="0.25"/>
    <row r="129" s="2" customFormat="1" ht="15.75" x14ac:dyDescent="0.25"/>
    <row r="130" s="2" customFormat="1" ht="15.75" x14ac:dyDescent="0.25"/>
    <row r="131" s="2" customFormat="1" ht="15.75" x14ac:dyDescent="0.25"/>
    <row r="132" s="2" customFormat="1" ht="15.75" x14ac:dyDescent="0.25"/>
    <row r="133" s="2" customFormat="1" ht="15.75" x14ac:dyDescent="0.25"/>
    <row r="134" s="2" customFormat="1" ht="15.75" x14ac:dyDescent="0.25"/>
    <row r="135" s="2" customFormat="1" ht="15.75" x14ac:dyDescent="0.25"/>
    <row r="136" s="2" customFormat="1" ht="15.75" x14ac:dyDescent="0.25"/>
    <row r="137" s="2" customFormat="1" ht="15.75" x14ac:dyDescent="0.25"/>
    <row r="138" s="2" customFormat="1" ht="15.75" x14ac:dyDescent="0.25"/>
    <row r="139" s="2" customFormat="1" ht="15.75" x14ac:dyDescent="0.25"/>
    <row r="140" s="2" customFormat="1" ht="15.75" x14ac:dyDescent="0.25"/>
    <row r="141" s="2" customFormat="1" ht="15.75" x14ac:dyDescent="0.25"/>
    <row r="142" s="2" customFormat="1" ht="15.75" x14ac:dyDescent="0.25"/>
    <row r="143" s="2" customFormat="1" ht="15.75" x14ac:dyDescent="0.25"/>
    <row r="144" s="2" customFormat="1" ht="15.75" x14ac:dyDescent="0.25"/>
    <row r="145" s="2" customFormat="1" ht="15.75" x14ac:dyDescent="0.25"/>
    <row r="146" s="2" customFormat="1" ht="15.75" x14ac:dyDescent="0.25"/>
    <row r="147" s="2" customFormat="1" ht="15.75" x14ac:dyDescent="0.25"/>
    <row r="148" s="2" customFormat="1" ht="15.75" x14ac:dyDescent="0.25"/>
    <row r="149" s="2" customFormat="1" ht="15.75" x14ac:dyDescent="0.25"/>
    <row r="150" s="2" customFormat="1" ht="15.75" x14ac:dyDescent="0.25"/>
    <row r="151" s="2" customFormat="1" ht="15.75" x14ac:dyDescent="0.25"/>
    <row r="152" s="2" customFormat="1" ht="15.75" x14ac:dyDescent="0.25"/>
    <row r="153" s="2" customFormat="1" ht="15.75" x14ac:dyDescent="0.25"/>
    <row r="154" s="2" customFormat="1" ht="15.75" x14ac:dyDescent="0.25"/>
    <row r="155" s="2" customFormat="1" ht="15.75" x14ac:dyDescent="0.25"/>
    <row r="156" s="2" customFormat="1" ht="15.75" x14ac:dyDescent="0.25"/>
    <row r="157" s="2" customFormat="1" ht="15.75" x14ac:dyDescent="0.25"/>
    <row r="158" s="2" customFormat="1" ht="15.75" x14ac:dyDescent="0.25"/>
    <row r="159" s="2" customFormat="1" ht="15.75" x14ac:dyDescent="0.25"/>
    <row r="160" s="2" customFormat="1" ht="15.75" x14ac:dyDescent="0.25"/>
    <row r="161" s="2" customFormat="1" ht="15.75" x14ac:dyDescent="0.25"/>
    <row r="162" s="2" customFormat="1" ht="15.75" x14ac:dyDescent="0.25"/>
    <row r="163" s="2" customFormat="1" ht="15.75" x14ac:dyDescent="0.25"/>
    <row r="164" s="2" customFormat="1" ht="15.75" x14ac:dyDescent="0.25"/>
    <row r="165" s="2" customFormat="1" ht="15.75" x14ac:dyDescent="0.25"/>
    <row r="166" s="2" customFormat="1" ht="15.75" x14ac:dyDescent="0.25"/>
    <row r="167" s="2" customFormat="1" ht="15.75" x14ac:dyDescent="0.25"/>
    <row r="168" s="2" customFormat="1" ht="15.75" x14ac:dyDescent="0.25"/>
    <row r="169" s="2" customFormat="1" ht="15.75" x14ac:dyDescent="0.25"/>
    <row r="170" s="2" customFormat="1" ht="15.75" x14ac:dyDescent="0.25"/>
    <row r="171" s="2" customFormat="1" ht="15.75" x14ac:dyDescent="0.25"/>
    <row r="172" s="2" customFormat="1" ht="15.75" x14ac:dyDescent="0.25"/>
    <row r="173" s="2" customFormat="1" ht="15.75" x14ac:dyDescent="0.25"/>
    <row r="174" s="2" customFormat="1" ht="15.75" x14ac:dyDescent="0.25"/>
    <row r="175" s="2" customFormat="1" ht="15.75" x14ac:dyDescent="0.25"/>
    <row r="176" s="2" customFormat="1" ht="15.75" x14ac:dyDescent="0.25"/>
    <row r="177" s="2" customFormat="1" ht="15.75" x14ac:dyDescent="0.25"/>
    <row r="178" s="2" customFormat="1" ht="15.75" x14ac:dyDescent="0.25"/>
    <row r="179" s="2" customFormat="1" ht="15.75" x14ac:dyDescent="0.25"/>
    <row r="180" s="2" customFormat="1" ht="15.75" x14ac:dyDescent="0.25"/>
    <row r="181" s="2" customFormat="1" ht="15.75" x14ac:dyDescent="0.25"/>
    <row r="182" s="2" customFormat="1" ht="15.75" x14ac:dyDescent="0.25"/>
    <row r="183" s="2" customFormat="1" ht="15.75" x14ac:dyDescent="0.25"/>
    <row r="184" s="2" customFormat="1" ht="15.75" x14ac:dyDescent="0.25"/>
    <row r="185" s="2" customFormat="1" ht="15.75" x14ac:dyDescent="0.25"/>
    <row r="186" s="2" customFormat="1" ht="15.75" x14ac:dyDescent="0.25"/>
    <row r="187" s="2" customFormat="1" ht="15.75" x14ac:dyDescent="0.25"/>
    <row r="188" s="2" customFormat="1" ht="15.75" x14ac:dyDescent="0.25"/>
    <row r="189" s="2" customFormat="1" ht="15.75" x14ac:dyDescent="0.25"/>
    <row r="190" s="2" customFormat="1" ht="15.75" x14ac:dyDescent="0.25"/>
    <row r="191" s="2" customFormat="1" ht="15.75" x14ac:dyDescent="0.25"/>
    <row r="192" s="2" customFormat="1" ht="15.75" x14ac:dyDescent="0.25"/>
    <row r="193" s="2" customFormat="1" ht="15.75" x14ac:dyDescent="0.25"/>
    <row r="194" s="2" customFormat="1" ht="15.75" x14ac:dyDescent="0.25"/>
    <row r="195" s="2" customFormat="1" ht="15.75" x14ac:dyDescent="0.25"/>
    <row r="196" s="2" customFormat="1" ht="15.75" x14ac:dyDescent="0.25"/>
    <row r="197" s="2" customFormat="1" ht="15.75" x14ac:dyDescent="0.25"/>
    <row r="198" s="2" customFormat="1" ht="15.75" x14ac:dyDescent="0.25"/>
    <row r="199" s="2" customFormat="1" ht="15.75" x14ac:dyDescent="0.25"/>
    <row r="200" s="2" customFormat="1" ht="15.75" x14ac:dyDescent="0.25"/>
    <row r="201" s="2" customFormat="1" ht="15.75" x14ac:dyDescent="0.25"/>
    <row r="202" s="2" customFormat="1" ht="15.75" x14ac:dyDescent="0.25"/>
    <row r="203" s="2" customFormat="1" ht="15.75" x14ac:dyDescent="0.25"/>
    <row r="204" s="2" customFormat="1" ht="15.75" x14ac:dyDescent="0.25"/>
    <row r="205" s="2" customFormat="1" ht="15.75" x14ac:dyDescent="0.25"/>
    <row r="206" s="2" customFormat="1" ht="15.75" x14ac:dyDescent="0.25"/>
    <row r="207" s="2" customFormat="1" ht="15.75" x14ac:dyDescent="0.25"/>
    <row r="208" s="2" customFormat="1" ht="15.75" x14ac:dyDescent="0.25"/>
    <row r="209" s="2" customFormat="1" ht="15.75" x14ac:dyDescent="0.25"/>
    <row r="210" s="2" customFormat="1" ht="15.75" x14ac:dyDescent="0.25"/>
    <row r="211" s="2" customFormat="1" ht="15.75" x14ac:dyDescent="0.25"/>
    <row r="212" s="2" customFormat="1" ht="15.75" x14ac:dyDescent="0.25"/>
    <row r="213" s="2" customFormat="1" ht="15.75" x14ac:dyDescent="0.25"/>
    <row r="214" s="2" customFormat="1" ht="15.75" x14ac:dyDescent="0.25"/>
    <row r="215" s="2" customFormat="1" ht="15.75" x14ac:dyDescent="0.25"/>
    <row r="216" s="2" customFormat="1" ht="15.75" x14ac:dyDescent="0.25"/>
    <row r="217" s="2" customFormat="1" ht="15.75" x14ac:dyDescent="0.25"/>
    <row r="218" s="2" customFormat="1" ht="15.75" x14ac:dyDescent="0.25"/>
    <row r="219" s="2" customFormat="1" ht="15.75" x14ac:dyDescent="0.25"/>
    <row r="220" s="2" customFormat="1" ht="15.75" x14ac:dyDescent="0.25"/>
    <row r="221" s="2" customFormat="1" ht="15.75" x14ac:dyDescent="0.25"/>
    <row r="222" s="2" customFormat="1" ht="15.75" x14ac:dyDescent="0.25"/>
    <row r="223" s="2" customFormat="1" ht="15.75" x14ac:dyDescent="0.25"/>
    <row r="224" s="2" customFormat="1" ht="15.75" x14ac:dyDescent="0.25"/>
    <row r="225" s="2" customFormat="1" ht="15.75" x14ac:dyDescent="0.25"/>
    <row r="226" s="2" customFormat="1" ht="15.75" x14ac:dyDescent="0.25"/>
    <row r="227" s="2" customFormat="1" ht="15.75" x14ac:dyDescent="0.25"/>
    <row r="228" s="2" customFormat="1" ht="15.75" x14ac:dyDescent="0.25"/>
    <row r="229" s="2" customFormat="1" ht="15.75" x14ac:dyDescent="0.25"/>
    <row r="230" s="2" customFormat="1" ht="15.75" x14ac:dyDescent="0.25"/>
    <row r="231" s="2" customFormat="1" ht="15.75" x14ac:dyDescent="0.25"/>
    <row r="232" s="2" customFormat="1" ht="15.75" x14ac:dyDescent="0.25"/>
    <row r="233" s="2" customFormat="1" ht="15.75" x14ac:dyDescent="0.25"/>
    <row r="234" s="2" customFormat="1" ht="15.75" x14ac:dyDescent="0.25"/>
    <row r="235" s="2" customFormat="1" ht="15.75" x14ac:dyDescent="0.25"/>
    <row r="236" s="2" customFormat="1" ht="15.75" x14ac:dyDescent="0.25"/>
    <row r="237" s="2" customFormat="1" ht="15.75" x14ac:dyDescent="0.25"/>
    <row r="238" s="2" customFormat="1" ht="15.75" x14ac:dyDescent="0.25"/>
    <row r="239" s="2" customFormat="1" ht="15.75" x14ac:dyDescent="0.25"/>
    <row r="240" s="2" customFormat="1" ht="15.75" x14ac:dyDescent="0.25"/>
    <row r="241" s="2" customFormat="1" ht="15.75" x14ac:dyDescent="0.25"/>
    <row r="242" s="2" customFormat="1" ht="15.75" x14ac:dyDescent="0.25"/>
    <row r="243" s="2" customFormat="1" ht="15.75" x14ac:dyDescent="0.25"/>
    <row r="244" s="2" customFormat="1" ht="15.75" x14ac:dyDescent="0.25"/>
    <row r="245" s="2" customFormat="1" ht="15.75" x14ac:dyDescent="0.25"/>
    <row r="246" s="2" customFormat="1" ht="15.75" x14ac:dyDescent="0.25"/>
    <row r="247" s="2" customFormat="1" ht="15.75" x14ac:dyDescent="0.25"/>
    <row r="248" s="2" customFormat="1" ht="15.75" x14ac:dyDescent="0.25"/>
    <row r="249" s="2" customFormat="1" ht="15.75" x14ac:dyDescent="0.25"/>
    <row r="250" s="2" customFormat="1" ht="15.75" x14ac:dyDescent="0.25"/>
    <row r="251" s="2" customFormat="1" ht="15.75" x14ac:dyDescent="0.25"/>
    <row r="252" s="2" customFormat="1" ht="15.75" x14ac:dyDescent="0.25"/>
    <row r="253" s="2" customFormat="1" ht="15.75" x14ac:dyDescent="0.25"/>
    <row r="254" s="2" customFormat="1" ht="15.75" x14ac:dyDescent="0.25"/>
    <row r="255" s="2" customFormat="1" ht="15.75" x14ac:dyDescent="0.25"/>
    <row r="256" s="2" customFormat="1" ht="15.75" x14ac:dyDescent="0.25"/>
    <row r="257" s="2" customFormat="1" ht="15.75" x14ac:dyDescent="0.25"/>
    <row r="258" s="2" customFormat="1" ht="15.75" x14ac:dyDescent="0.25"/>
    <row r="259" s="2" customFormat="1" ht="15.75" x14ac:dyDescent="0.25"/>
    <row r="260" s="2" customFormat="1" ht="15.75" x14ac:dyDescent="0.25"/>
    <row r="261" s="2" customFormat="1" ht="15.75" x14ac:dyDescent="0.25"/>
    <row r="262" s="2" customFormat="1" ht="15.75" x14ac:dyDescent="0.25"/>
    <row r="263" s="2" customFormat="1" ht="15.75" x14ac:dyDescent="0.25"/>
    <row r="264" s="2" customFormat="1" ht="15.75" x14ac:dyDescent="0.25"/>
    <row r="265" s="2" customFormat="1" ht="15.75" x14ac:dyDescent="0.25"/>
    <row r="266" s="2" customFormat="1" ht="15.75" x14ac:dyDescent="0.25"/>
    <row r="267" s="2" customFormat="1" ht="15.75" x14ac:dyDescent="0.25"/>
    <row r="268" s="2" customFormat="1" ht="15.75" x14ac:dyDescent="0.25"/>
    <row r="269" s="2" customFormat="1" ht="15.75" x14ac:dyDescent="0.25"/>
    <row r="270" s="2" customFormat="1" ht="15.75" x14ac:dyDescent="0.25"/>
    <row r="271" s="2" customFormat="1" ht="15.75" x14ac:dyDescent="0.25"/>
    <row r="272" s="2" customFormat="1" ht="15.75" x14ac:dyDescent="0.25"/>
    <row r="273" s="2" customFormat="1" ht="15.75" x14ac:dyDescent="0.25"/>
    <row r="274" s="2" customFormat="1" ht="15.75" x14ac:dyDescent="0.25"/>
    <row r="275" s="2" customFormat="1" ht="15.75" x14ac:dyDescent="0.25"/>
    <row r="276" s="2" customFormat="1" ht="15.75" x14ac:dyDescent="0.25"/>
    <row r="277" s="2" customFormat="1" ht="15.75" x14ac:dyDescent="0.25"/>
    <row r="278" s="2" customFormat="1" ht="15.75" x14ac:dyDescent="0.25"/>
    <row r="279" s="2" customFormat="1" ht="15.75" x14ac:dyDescent="0.25"/>
    <row r="280" s="2" customFormat="1" ht="15.75" x14ac:dyDescent="0.25"/>
    <row r="281" s="2" customFormat="1" ht="15.75" x14ac:dyDescent="0.25"/>
    <row r="282" s="2" customFormat="1" ht="15.75" x14ac:dyDescent="0.25"/>
    <row r="283" s="2" customFormat="1" ht="15.75" x14ac:dyDescent="0.25"/>
    <row r="284" s="2" customFormat="1" ht="15.75" x14ac:dyDescent="0.25"/>
    <row r="285" s="2" customFormat="1" ht="15.75" x14ac:dyDescent="0.25"/>
    <row r="286" s="2" customFormat="1" ht="15.75" x14ac:dyDescent="0.25"/>
    <row r="287" s="2" customFormat="1" ht="15.75" x14ac:dyDescent="0.25"/>
    <row r="288" s="2" customFormat="1" ht="15.75" x14ac:dyDescent="0.25"/>
    <row r="289" s="2" customFormat="1" ht="15.75" x14ac:dyDescent="0.25"/>
    <row r="290" s="2" customFormat="1" ht="15.75" x14ac:dyDescent="0.25"/>
    <row r="291" s="2" customFormat="1" ht="15.75" x14ac:dyDescent="0.25"/>
    <row r="292" s="2" customFormat="1" ht="15.75" x14ac:dyDescent="0.25"/>
    <row r="293" s="2" customFormat="1" ht="15.75" x14ac:dyDescent="0.25"/>
    <row r="294" s="2" customFormat="1" ht="15.75" x14ac:dyDescent="0.25"/>
    <row r="295" s="2" customFormat="1" ht="15.75" x14ac:dyDescent="0.25"/>
    <row r="296" s="2" customFormat="1" ht="15.75" x14ac:dyDescent="0.25"/>
    <row r="297" s="2" customFormat="1" ht="15.75" x14ac:dyDescent="0.25"/>
    <row r="298" s="2" customFormat="1" ht="15.75" x14ac:dyDescent="0.25"/>
    <row r="299" s="2" customFormat="1" ht="15.75" x14ac:dyDescent="0.25"/>
    <row r="300" s="2" customFormat="1" ht="15.75" x14ac:dyDescent="0.25"/>
    <row r="301" s="2" customFormat="1" ht="15.75" x14ac:dyDescent="0.25"/>
    <row r="302" s="2" customFormat="1" ht="15.75" x14ac:dyDescent="0.25"/>
    <row r="303" s="2" customFormat="1" ht="15.75" x14ac:dyDescent="0.25"/>
    <row r="304" s="2" customFormat="1" ht="15.75" x14ac:dyDescent="0.25"/>
  </sheetData>
  <mergeCells count="2">
    <mergeCell ref="A1:G1"/>
    <mergeCell ref="A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E2BF-685A-4F8E-94F9-8A2854D5F1B3}">
  <dimension ref="A1:D34"/>
  <sheetViews>
    <sheetView workbookViewId="0">
      <selection activeCell="B15" sqref="B15"/>
    </sheetView>
  </sheetViews>
  <sheetFormatPr defaultColWidth="25.42578125" defaultRowHeight="15.75" x14ac:dyDescent="0.25"/>
  <cols>
    <col min="1" max="1" width="26.28515625" style="2" customWidth="1"/>
    <col min="2" max="2" width="28.85546875" style="2" bestFit="1" customWidth="1"/>
    <col min="3" max="16384" width="25.42578125" style="2"/>
  </cols>
  <sheetData>
    <row r="1" spans="1:4" x14ac:dyDescent="0.25">
      <c r="B1" s="9" t="s">
        <v>200</v>
      </c>
      <c r="C1" s="22" t="s">
        <v>203</v>
      </c>
      <c r="D1" s="22" t="s">
        <v>204</v>
      </c>
    </row>
    <row r="2" spans="1:4" x14ac:dyDescent="0.25">
      <c r="A2" s="5" t="s">
        <v>201</v>
      </c>
      <c r="B2" s="10">
        <f>25.5*365</f>
        <v>9307.5</v>
      </c>
      <c r="C2" s="17">
        <v>0.68</v>
      </c>
      <c r="D2" s="11">
        <f>B2*C2</f>
        <v>6329.1</v>
      </c>
    </row>
    <row r="3" spans="1:4" x14ac:dyDescent="0.25">
      <c r="A3" s="5" t="s">
        <v>202</v>
      </c>
      <c r="B3" s="10">
        <f>25.5*365</f>
        <v>9307.5</v>
      </c>
      <c r="C3" s="17">
        <v>0.32</v>
      </c>
      <c r="D3" s="11">
        <f>B3*C3</f>
        <v>2978.4</v>
      </c>
    </row>
    <row r="4" spans="1:4" x14ac:dyDescent="0.25">
      <c r="A4" s="5"/>
      <c r="B4" s="10"/>
      <c r="C4" s="11"/>
    </row>
    <row r="5" spans="1:4" ht="6" customHeight="1" x14ac:dyDescent="0.25">
      <c r="A5" s="12"/>
      <c r="B5" s="13"/>
      <c r="C5" s="14"/>
    </row>
    <row r="6" spans="1:4" x14ac:dyDescent="0.25">
      <c r="C6" s="22"/>
      <c r="D6" s="22"/>
    </row>
    <row r="7" spans="1:4" x14ac:dyDescent="0.25">
      <c r="B7" s="9" t="s">
        <v>199</v>
      </c>
      <c r="C7" s="22" t="s">
        <v>203</v>
      </c>
      <c r="D7" s="22" t="s">
        <v>204</v>
      </c>
    </row>
    <row r="8" spans="1:4" x14ac:dyDescent="0.25">
      <c r="A8" s="5" t="s">
        <v>201</v>
      </c>
      <c r="B8" s="10">
        <f>C34</f>
        <v>484.5</v>
      </c>
      <c r="C8" s="17">
        <v>0.68</v>
      </c>
      <c r="D8" s="11">
        <f>B8*C8</f>
        <v>329.46000000000004</v>
      </c>
    </row>
    <row r="9" spans="1:4" x14ac:dyDescent="0.25">
      <c r="A9" s="5" t="s">
        <v>202</v>
      </c>
      <c r="B9" s="10">
        <f>C34</f>
        <v>484.5</v>
      </c>
      <c r="C9" s="17">
        <v>0.32</v>
      </c>
      <c r="D9" s="11">
        <f>B9*C9</f>
        <v>155.04</v>
      </c>
    </row>
    <row r="11" spans="1:4" ht="7.5" customHeight="1" x14ac:dyDescent="0.25">
      <c r="A11" s="12"/>
      <c r="B11" s="13"/>
      <c r="C11" s="14"/>
    </row>
    <row r="12" spans="1:4" x14ac:dyDescent="0.25">
      <c r="B12" s="5" t="s">
        <v>20</v>
      </c>
    </row>
    <row r="13" spans="1:4" x14ac:dyDescent="0.25">
      <c r="A13" s="5" t="s">
        <v>201</v>
      </c>
      <c r="B13" s="11">
        <f>D2+D8</f>
        <v>6658.56</v>
      </c>
    </row>
    <row r="14" spans="1:4" x14ac:dyDescent="0.25">
      <c r="A14" s="5" t="s">
        <v>202</v>
      </c>
      <c r="B14" s="11">
        <f>D3+D9</f>
        <v>3133.44</v>
      </c>
    </row>
    <row r="18" spans="1:4" x14ac:dyDescent="0.25">
      <c r="A18" s="16" t="s">
        <v>21</v>
      </c>
      <c r="B18" s="16" t="s">
        <v>22</v>
      </c>
    </row>
    <row r="19" spans="1:4" x14ac:dyDescent="0.25">
      <c r="A19" s="2" t="s">
        <v>23</v>
      </c>
      <c r="B19" s="2" t="s">
        <v>24</v>
      </c>
    </row>
    <row r="20" spans="1:4" x14ac:dyDescent="0.25">
      <c r="A20" s="2" t="s">
        <v>25</v>
      </c>
      <c r="B20" s="2" t="s">
        <v>26</v>
      </c>
    </row>
    <row r="21" spans="1:4" x14ac:dyDescent="0.25">
      <c r="A21" s="2" t="s">
        <v>27</v>
      </c>
      <c r="B21" s="2" t="s">
        <v>28</v>
      </c>
    </row>
    <row r="22" spans="1:4" x14ac:dyDescent="0.25">
      <c r="A22" s="2" t="s">
        <v>29</v>
      </c>
      <c r="B22" s="2" t="s">
        <v>30</v>
      </c>
    </row>
    <row r="23" spans="1:4" x14ac:dyDescent="0.25">
      <c r="A23" s="2" t="s">
        <v>31</v>
      </c>
    </row>
    <row r="24" spans="1:4" x14ac:dyDescent="0.25">
      <c r="A24" s="2" t="s">
        <v>32</v>
      </c>
    </row>
    <row r="25" spans="1:4" x14ac:dyDescent="0.25">
      <c r="A25" s="2" t="s">
        <v>33</v>
      </c>
    </row>
    <row r="26" spans="1:4" x14ac:dyDescent="0.25">
      <c r="A26" s="2" t="s">
        <v>34</v>
      </c>
    </row>
    <row r="27" spans="1:4" x14ac:dyDescent="0.25">
      <c r="A27" s="2" t="s">
        <v>35</v>
      </c>
    </row>
    <row r="28" spans="1:4" x14ac:dyDescent="0.25">
      <c r="A28" s="4" t="s">
        <v>36</v>
      </c>
      <c r="B28" s="4"/>
    </row>
    <row r="29" spans="1:4" x14ac:dyDescent="0.25">
      <c r="A29" s="2">
        <f>COUNTA(A19:A28)</f>
        <v>10</v>
      </c>
      <c r="B29" s="2">
        <f>COUNTA(B19:B28)</f>
        <v>4</v>
      </c>
    </row>
    <row r="30" spans="1:4" x14ac:dyDescent="0.25">
      <c r="A30" s="2" t="s">
        <v>37</v>
      </c>
      <c r="B30" s="2" t="s">
        <v>38</v>
      </c>
    </row>
    <row r="31" spans="1:4" x14ac:dyDescent="0.25">
      <c r="A31" s="4">
        <v>1.5</v>
      </c>
      <c r="B31" s="4">
        <v>1</v>
      </c>
    </row>
    <row r="32" spans="1:4" x14ac:dyDescent="0.25">
      <c r="A32" s="2">
        <f>A29*A31</f>
        <v>15</v>
      </c>
      <c r="B32" s="2">
        <v>4</v>
      </c>
      <c r="C32" s="5">
        <f>SUM(A32:B32)</f>
        <v>19</v>
      </c>
      <c r="D32" s="2" t="s">
        <v>39</v>
      </c>
    </row>
    <row r="33" spans="3:4" x14ac:dyDescent="0.25">
      <c r="C33" s="4">
        <v>25.5</v>
      </c>
      <c r="D33" s="4" t="s">
        <v>40</v>
      </c>
    </row>
    <row r="34" spans="3:4" x14ac:dyDescent="0.25">
      <c r="C34" s="2">
        <f>C32*C33</f>
        <v>484.5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C04EC-C8E5-4F59-8CC0-DFE104996520}">
  <dimension ref="A1:J16"/>
  <sheetViews>
    <sheetView workbookViewId="0">
      <selection activeCell="B17" sqref="B17"/>
    </sheetView>
  </sheetViews>
  <sheetFormatPr defaultColWidth="9.140625" defaultRowHeight="15.75" x14ac:dyDescent="0.25"/>
  <cols>
    <col min="1" max="1" width="14.5703125" style="2" customWidth="1"/>
    <col min="2" max="10" width="13.42578125" style="2" customWidth="1"/>
    <col min="11" max="16384" width="9.140625" style="2"/>
  </cols>
  <sheetData>
    <row r="1" spans="1:10" ht="18.75" x14ac:dyDescent="0.3">
      <c r="A1" s="69" t="s">
        <v>2</v>
      </c>
    </row>
    <row r="2" spans="1:10" x14ac:dyDescent="0.25">
      <c r="A2" s="98" t="s">
        <v>42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</row>
    <row r="4" spans="1:10" x14ac:dyDescent="0.25">
      <c r="A4" s="25" t="s">
        <v>43</v>
      </c>
      <c r="B4" s="35" t="s">
        <v>54</v>
      </c>
      <c r="C4" s="26"/>
      <c r="D4" s="24"/>
      <c r="E4" s="24"/>
      <c r="F4" s="24"/>
      <c r="G4" s="24"/>
      <c r="H4" s="24"/>
      <c r="I4" s="24"/>
      <c r="J4" s="24"/>
    </row>
    <row r="5" spans="1:10" x14ac:dyDescent="0.25">
      <c r="A5" s="24"/>
      <c r="B5" s="24"/>
      <c r="C5" s="26"/>
      <c r="D5" s="24"/>
      <c r="E5" s="24"/>
      <c r="F5" s="24"/>
      <c r="G5" s="24"/>
      <c r="H5" s="24"/>
      <c r="I5" s="24"/>
      <c r="J5" s="24"/>
    </row>
    <row r="6" spans="1:10" x14ac:dyDescent="0.25">
      <c r="A6" s="24"/>
      <c r="B6" s="27" t="s">
        <v>44</v>
      </c>
      <c r="C6" s="27" t="s">
        <v>45</v>
      </c>
      <c r="D6" s="27" t="s">
        <v>46</v>
      </c>
      <c r="E6" s="27" t="s">
        <v>47</v>
      </c>
      <c r="F6" s="27" t="s">
        <v>48</v>
      </c>
      <c r="G6" s="27" t="s">
        <v>49</v>
      </c>
      <c r="H6" s="27" t="s">
        <v>50</v>
      </c>
      <c r="I6" s="27" t="s">
        <v>51</v>
      </c>
      <c r="J6" s="27" t="s">
        <v>52</v>
      </c>
    </row>
    <row r="7" spans="1:10" x14ac:dyDescent="0.25">
      <c r="A7" s="28">
        <v>42705</v>
      </c>
      <c r="B7" s="24">
        <v>31.636150000000001</v>
      </c>
      <c r="C7" s="24">
        <v>33.221029999999999</v>
      </c>
      <c r="D7" s="24"/>
      <c r="E7" s="24"/>
      <c r="F7" s="24"/>
      <c r="G7" s="24"/>
      <c r="H7" s="24"/>
      <c r="I7" s="24"/>
      <c r="J7" s="24"/>
    </row>
    <row r="8" spans="1:10" x14ac:dyDescent="0.25">
      <c r="A8" s="28">
        <f>EDATE(A7,12)</f>
        <v>43070</v>
      </c>
      <c r="B8" s="24">
        <v>32.427050000000001</v>
      </c>
      <c r="C8" s="24">
        <v>34.051549999999999</v>
      </c>
      <c r="D8" s="24"/>
      <c r="E8" s="24"/>
      <c r="F8" s="24"/>
      <c r="G8" s="24"/>
      <c r="H8" s="24"/>
      <c r="I8" s="24"/>
      <c r="J8" s="24"/>
    </row>
    <row r="9" spans="1:10" x14ac:dyDescent="0.25">
      <c r="A9" s="28">
        <f t="shared" ref="A9:A10" si="0">EDATE(A8,12)</f>
        <v>43435</v>
      </c>
      <c r="B9" s="24">
        <v>33.237729999999999</v>
      </c>
      <c r="C9" s="24">
        <v>34.902839999999998</v>
      </c>
      <c r="D9" s="24"/>
      <c r="E9" s="24"/>
      <c r="F9" s="24"/>
      <c r="G9" s="24"/>
      <c r="H9" s="24"/>
      <c r="I9" s="24"/>
      <c r="J9" s="24"/>
    </row>
    <row r="10" spans="1:10" x14ac:dyDescent="0.25">
      <c r="A10" s="28">
        <f t="shared" si="0"/>
        <v>43800</v>
      </c>
      <c r="B10" s="24">
        <v>34.068669999999997</v>
      </c>
      <c r="C10" s="24">
        <v>35.775410000000001</v>
      </c>
      <c r="D10" s="24">
        <v>37.559229999999999</v>
      </c>
      <c r="E10" s="24">
        <v>39.442140000000002</v>
      </c>
      <c r="F10" s="24">
        <v>41.413150000000002</v>
      </c>
      <c r="G10" s="24">
        <v>41.413150000000002</v>
      </c>
      <c r="H10" s="24">
        <v>43.483260000000001</v>
      </c>
      <c r="I10" s="24">
        <v>43.483260000000001</v>
      </c>
      <c r="J10" s="24">
        <v>47.66751</v>
      </c>
    </row>
    <row r="11" spans="1:10" x14ac:dyDescent="0.25">
      <c r="A11" s="29" t="s">
        <v>53</v>
      </c>
      <c r="B11" s="24"/>
      <c r="C11" s="30">
        <f>C10/B10-1</f>
        <v>5.00970539795067E-2</v>
      </c>
      <c r="D11" s="30">
        <f>D10/C10-1</f>
        <v>4.9861622829759256E-2</v>
      </c>
      <c r="E11" s="30">
        <f t="shared" ref="E11:J11" si="1">E10/D10-1</f>
        <v>5.0131751902262156E-2</v>
      </c>
      <c r="F11" s="30">
        <f t="shared" si="1"/>
        <v>4.9972187107494737E-2</v>
      </c>
      <c r="G11" s="30">
        <f t="shared" si="1"/>
        <v>0</v>
      </c>
      <c r="H11" s="30">
        <f t="shared" si="1"/>
        <v>4.9986779561564276E-2</v>
      </c>
      <c r="I11" s="30">
        <f t="shared" si="1"/>
        <v>0</v>
      </c>
      <c r="J11" s="30">
        <f t="shared" si="1"/>
        <v>9.6226685855660188E-2</v>
      </c>
    </row>
    <row r="12" spans="1:10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</row>
    <row r="13" spans="1:10" x14ac:dyDescent="0.25">
      <c r="A13" s="99" t="s">
        <v>55</v>
      </c>
      <c r="B13" s="99"/>
      <c r="C13" s="24"/>
      <c r="D13" s="24"/>
      <c r="E13" s="24"/>
      <c r="F13" s="24"/>
      <c r="G13" s="24"/>
      <c r="H13" s="36" t="s">
        <v>50</v>
      </c>
      <c r="I13" s="24"/>
      <c r="J13" s="24"/>
    </row>
    <row r="14" spans="1:10" x14ac:dyDescent="0.25">
      <c r="A14" s="31">
        <v>44166</v>
      </c>
      <c r="B14" s="93">
        <v>0.03</v>
      </c>
      <c r="C14" s="32"/>
      <c r="D14" s="32"/>
      <c r="E14" s="32"/>
      <c r="F14" s="32"/>
      <c r="G14" s="32"/>
      <c r="H14" s="33">
        <f>H10*(1+B14)</f>
        <v>44.787757800000001</v>
      </c>
      <c r="I14" s="24"/>
      <c r="J14" s="24"/>
    </row>
    <row r="15" spans="1:10" x14ac:dyDescent="0.25">
      <c r="A15" s="31">
        <v>44531</v>
      </c>
      <c r="B15" s="93">
        <v>2.5000000000000001E-2</v>
      </c>
      <c r="C15" s="32"/>
      <c r="D15" s="32"/>
      <c r="E15" s="32"/>
      <c r="F15" s="32"/>
      <c r="G15" s="32"/>
      <c r="H15" s="33">
        <f>H14*(1+B15)</f>
        <v>45.907451744999996</v>
      </c>
      <c r="I15" s="24"/>
      <c r="J15" s="24"/>
    </row>
    <row r="16" spans="1:10" x14ac:dyDescent="0.25">
      <c r="A16" s="31">
        <v>44896</v>
      </c>
      <c r="B16" s="94">
        <v>2.75E-2</v>
      </c>
      <c r="C16" s="32"/>
      <c r="D16" s="32"/>
      <c r="E16" s="32"/>
      <c r="F16" s="24"/>
      <c r="G16" s="34"/>
      <c r="H16" s="37">
        <f>H15*(1+B16)</f>
        <v>47.169906667987497</v>
      </c>
      <c r="I16" s="24"/>
      <c r="J16" s="24"/>
    </row>
  </sheetData>
  <mergeCells count="2">
    <mergeCell ref="A2:J2"/>
    <mergeCell ref="A13:B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A92B5-D2B3-48DE-84C4-13F67E641B2C}">
  <dimension ref="A1:G56"/>
  <sheetViews>
    <sheetView workbookViewId="0"/>
  </sheetViews>
  <sheetFormatPr defaultRowHeight="15" x14ac:dyDescent="0.25"/>
  <cols>
    <col min="1" max="1" width="35.7109375" customWidth="1"/>
    <col min="2" max="2" width="65.7109375" customWidth="1"/>
    <col min="3" max="3" width="25.7109375" customWidth="1"/>
    <col min="4" max="6" width="12.7109375" customWidth="1"/>
    <col min="7" max="7" width="14.28515625" bestFit="1" customWidth="1"/>
  </cols>
  <sheetData>
    <row r="1" spans="1:7" ht="18.75" x14ac:dyDescent="0.3">
      <c r="A1" s="69" t="s">
        <v>4</v>
      </c>
    </row>
    <row r="3" spans="1:7" x14ac:dyDescent="0.25">
      <c r="A3" s="8" t="s">
        <v>56</v>
      </c>
      <c r="B3" s="8" t="s">
        <v>57</v>
      </c>
      <c r="C3" s="8" t="s">
        <v>58</v>
      </c>
      <c r="D3" s="38" t="s">
        <v>59</v>
      </c>
    </row>
    <row r="4" spans="1:7" x14ac:dyDescent="0.25">
      <c r="A4" s="39" t="s">
        <v>60</v>
      </c>
      <c r="B4" s="40"/>
      <c r="C4" s="40"/>
      <c r="D4" s="41">
        <f>948480-274293</f>
        <v>674187</v>
      </c>
    </row>
    <row r="5" spans="1:7" x14ac:dyDescent="0.25">
      <c r="A5" s="42" t="s">
        <v>61</v>
      </c>
      <c r="B5" s="42" t="s">
        <v>62</v>
      </c>
      <c r="C5" s="42" t="s">
        <v>63</v>
      </c>
    </row>
    <row r="6" spans="1:7" x14ac:dyDescent="0.25">
      <c r="A6" s="42"/>
      <c r="B6" s="42"/>
      <c r="C6" s="42"/>
      <c r="D6" s="43"/>
    </row>
    <row r="7" spans="1:7" x14ac:dyDescent="0.25">
      <c r="A7" s="39" t="s">
        <v>64</v>
      </c>
      <c r="B7" s="40"/>
      <c r="C7" s="40"/>
      <c r="D7" s="41">
        <f>0-0</f>
        <v>0</v>
      </c>
    </row>
    <row r="8" spans="1:7" x14ac:dyDescent="0.25">
      <c r="A8" s="42" t="s">
        <v>65</v>
      </c>
      <c r="B8" s="42" t="s">
        <v>66</v>
      </c>
      <c r="C8" s="42" t="s">
        <v>67</v>
      </c>
    </row>
    <row r="9" spans="1:7" x14ac:dyDescent="0.25">
      <c r="B9" s="42"/>
      <c r="C9" s="42"/>
      <c r="D9" s="43"/>
      <c r="G9" s="7"/>
    </row>
    <row r="10" spans="1:7" x14ac:dyDescent="0.25">
      <c r="A10" s="39" t="s">
        <v>68</v>
      </c>
      <c r="B10" s="39"/>
      <c r="C10" s="39"/>
      <c r="D10" s="41">
        <f>207114-121</f>
        <v>206993</v>
      </c>
    </row>
    <row r="11" spans="1:7" x14ac:dyDescent="0.25">
      <c r="A11" s="42" t="s">
        <v>69</v>
      </c>
      <c r="B11" s="42" t="s">
        <v>70</v>
      </c>
      <c r="C11" s="42" t="s">
        <v>71</v>
      </c>
    </row>
    <row r="12" spans="1:7" x14ac:dyDescent="0.25">
      <c r="A12" s="42"/>
      <c r="B12" s="42"/>
      <c r="C12" s="42"/>
      <c r="D12" s="43"/>
    </row>
    <row r="13" spans="1:7" x14ac:dyDescent="0.25">
      <c r="A13" s="39" t="s">
        <v>72</v>
      </c>
      <c r="B13" s="39"/>
      <c r="C13" s="39"/>
      <c r="D13" s="41">
        <f>9199052-522158</f>
        <v>8676894</v>
      </c>
    </row>
    <row r="14" spans="1:7" x14ac:dyDescent="0.25">
      <c r="A14" s="42" t="s">
        <v>73</v>
      </c>
      <c r="B14" s="42" t="s">
        <v>62</v>
      </c>
      <c r="C14" s="42" t="s">
        <v>63</v>
      </c>
    </row>
    <row r="15" spans="1:7" x14ac:dyDescent="0.25">
      <c r="A15" s="42" t="s">
        <v>74</v>
      </c>
      <c r="B15" s="42" t="s">
        <v>75</v>
      </c>
      <c r="C15" s="42" t="s">
        <v>63</v>
      </c>
    </row>
    <row r="16" spans="1:7" x14ac:dyDescent="0.25">
      <c r="B16" s="42"/>
      <c r="C16" s="42"/>
      <c r="D16" s="42"/>
    </row>
    <row r="17" spans="1:4" x14ac:dyDescent="0.25">
      <c r="A17" s="39" t="s">
        <v>76</v>
      </c>
      <c r="B17" s="39"/>
      <c r="C17" s="39"/>
      <c r="D17" s="41">
        <f>1007481-51</f>
        <v>1007430</v>
      </c>
    </row>
    <row r="18" spans="1:4" x14ac:dyDescent="0.25">
      <c r="A18" s="42" t="s">
        <v>77</v>
      </c>
      <c r="B18" s="42" t="s">
        <v>78</v>
      </c>
      <c r="C18" s="42" t="s">
        <v>67</v>
      </c>
    </row>
    <row r="19" spans="1:4" x14ac:dyDescent="0.25">
      <c r="A19" s="42" t="s">
        <v>79</v>
      </c>
      <c r="B19" s="42" t="s">
        <v>80</v>
      </c>
      <c r="C19" s="42" t="s">
        <v>71</v>
      </c>
    </row>
    <row r="20" spans="1:4" x14ac:dyDescent="0.25">
      <c r="B20" s="42"/>
      <c r="C20" s="42"/>
      <c r="D20" s="43"/>
    </row>
    <row r="21" spans="1:4" x14ac:dyDescent="0.25">
      <c r="A21" s="39" t="s">
        <v>81</v>
      </c>
      <c r="B21" s="39"/>
      <c r="C21" s="39"/>
      <c r="D21" s="41">
        <f>2770302-1549</f>
        <v>2768753</v>
      </c>
    </row>
    <row r="22" spans="1:4" x14ac:dyDescent="0.25">
      <c r="A22" s="42" t="s">
        <v>82</v>
      </c>
      <c r="B22" s="42" t="s">
        <v>70</v>
      </c>
      <c r="C22" s="42" t="s">
        <v>71</v>
      </c>
    </row>
    <row r="23" spans="1:4" x14ac:dyDescent="0.25">
      <c r="A23" s="42" t="s">
        <v>83</v>
      </c>
      <c r="B23" s="42" t="s">
        <v>84</v>
      </c>
      <c r="C23" s="42" t="s">
        <v>85</v>
      </c>
    </row>
    <row r="24" spans="1:4" x14ac:dyDescent="0.25">
      <c r="B24" s="42"/>
      <c r="C24" s="42"/>
      <c r="D24" s="43"/>
    </row>
    <row r="25" spans="1:4" x14ac:dyDescent="0.25">
      <c r="A25" s="39" t="s">
        <v>86</v>
      </c>
      <c r="B25" s="39"/>
      <c r="C25" s="39"/>
      <c r="D25" s="41">
        <f>11104375-612101</f>
        <v>10492274</v>
      </c>
    </row>
    <row r="26" spans="1:4" x14ac:dyDescent="0.25">
      <c r="A26" s="42" t="s">
        <v>87</v>
      </c>
      <c r="B26" s="42" t="s">
        <v>88</v>
      </c>
      <c r="C26" s="42" t="s">
        <v>89</v>
      </c>
    </row>
    <row r="27" spans="1:4" x14ac:dyDescent="0.25">
      <c r="A27" s="42" t="s">
        <v>90</v>
      </c>
      <c r="B27" s="42" t="s">
        <v>91</v>
      </c>
      <c r="C27" s="42" t="s">
        <v>89</v>
      </c>
    </row>
    <row r="28" spans="1:4" x14ac:dyDescent="0.25">
      <c r="A28" s="42" t="s">
        <v>92</v>
      </c>
      <c r="B28" s="42" t="s">
        <v>93</v>
      </c>
      <c r="C28" s="42" t="s">
        <v>89</v>
      </c>
    </row>
    <row r="29" spans="1:4" x14ac:dyDescent="0.25">
      <c r="A29" s="42" t="s">
        <v>94</v>
      </c>
      <c r="B29" s="42" t="s">
        <v>95</v>
      </c>
      <c r="C29" s="42" t="s">
        <v>89</v>
      </c>
    </row>
    <row r="30" spans="1:4" x14ac:dyDescent="0.25">
      <c r="A30" s="42" t="s">
        <v>96</v>
      </c>
      <c r="B30" s="42" t="s">
        <v>97</v>
      </c>
      <c r="C30" s="42" t="s">
        <v>89</v>
      </c>
    </row>
    <row r="31" spans="1:4" x14ac:dyDescent="0.25">
      <c r="A31" s="42" t="s">
        <v>98</v>
      </c>
      <c r="B31" s="42" t="s">
        <v>99</v>
      </c>
      <c r="C31" s="42" t="s">
        <v>89</v>
      </c>
    </row>
    <row r="32" spans="1:4" x14ac:dyDescent="0.25">
      <c r="A32" s="42" t="s">
        <v>100</v>
      </c>
      <c r="B32" s="42" t="s">
        <v>101</v>
      </c>
      <c r="C32" s="42" t="s">
        <v>89</v>
      </c>
    </row>
    <row r="33" spans="1:4" x14ac:dyDescent="0.25">
      <c r="A33" s="42" t="s">
        <v>102</v>
      </c>
      <c r="B33" s="42" t="s">
        <v>103</v>
      </c>
      <c r="C33" s="42" t="s">
        <v>89</v>
      </c>
    </row>
    <row r="34" spans="1:4" x14ac:dyDescent="0.25">
      <c r="A34" s="42" t="s">
        <v>104</v>
      </c>
      <c r="B34" s="42" t="s">
        <v>105</v>
      </c>
      <c r="C34" s="42" t="s">
        <v>89</v>
      </c>
    </row>
    <row r="35" spans="1:4" x14ac:dyDescent="0.25">
      <c r="B35" s="42"/>
      <c r="C35" s="42"/>
      <c r="D35" s="43"/>
    </row>
    <row r="36" spans="1:4" x14ac:dyDescent="0.25">
      <c r="A36" s="39" t="s">
        <v>106</v>
      </c>
      <c r="B36" s="40"/>
      <c r="C36" s="40"/>
      <c r="D36" s="41">
        <f>2145758-0</f>
        <v>2145758</v>
      </c>
    </row>
    <row r="37" spans="1:4" x14ac:dyDescent="0.25">
      <c r="A37" s="42" t="s">
        <v>107</v>
      </c>
      <c r="B37" s="42" t="s">
        <v>108</v>
      </c>
      <c r="C37" s="42" t="s">
        <v>109</v>
      </c>
    </row>
    <row r="38" spans="1:4" x14ac:dyDescent="0.25">
      <c r="A38" s="42" t="s">
        <v>110</v>
      </c>
      <c r="B38" s="42" t="s">
        <v>111</v>
      </c>
      <c r="C38" s="42" t="s">
        <v>109</v>
      </c>
    </row>
    <row r="39" spans="1:4" x14ac:dyDescent="0.25">
      <c r="B39" s="42"/>
      <c r="C39" s="42"/>
      <c r="D39" s="43"/>
    </row>
    <row r="40" spans="1:4" x14ac:dyDescent="0.25">
      <c r="A40" s="39" t="s">
        <v>112</v>
      </c>
      <c r="B40" s="40"/>
      <c r="C40" s="40"/>
      <c r="D40" s="41">
        <f>2160580-0</f>
        <v>2160580</v>
      </c>
    </row>
    <row r="41" spans="1:4" x14ac:dyDescent="0.25">
      <c r="A41" s="42" t="s">
        <v>113</v>
      </c>
      <c r="B41" s="42" t="s">
        <v>114</v>
      </c>
      <c r="C41" s="42" t="s">
        <v>109</v>
      </c>
    </row>
    <row r="42" spans="1:4" x14ac:dyDescent="0.25">
      <c r="A42" s="42" t="s">
        <v>115</v>
      </c>
      <c r="B42" s="42" t="s">
        <v>116</v>
      </c>
      <c r="C42" s="42" t="s">
        <v>117</v>
      </c>
    </row>
    <row r="43" spans="1:4" x14ac:dyDescent="0.25">
      <c r="B43" s="42"/>
      <c r="C43" s="42"/>
      <c r="D43" s="43"/>
    </row>
    <row r="44" spans="1:4" x14ac:dyDescent="0.25">
      <c r="A44" s="39" t="s">
        <v>118</v>
      </c>
      <c r="B44" s="40"/>
      <c r="C44" s="40"/>
      <c r="D44" s="41">
        <f>563193-0</f>
        <v>563193</v>
      </c>
    </row>
    <row r="45" spans="1:4" x14ac:dyDescent="0.25">
      <c r="A45" s="42" t="s">
        <v>119</v>
      </c>
      <c r="B45" s="42" t="s">
        <v>108</v>
      </c>
      <c r="C45" s="42" t="s">
        <v>109</v>
      </c>
    </row>
    <row r="46" spans="1:4" x14ac:dyDescent="0.25">
      <c r="B46" s="42"/>
      <c r="C46" s="42"/>
      <c r="D46" s="43"/>
    </row>
    <row r="47" spans="1:4" x14ac:dyDescent="0.25">
      <c r="A47" s="39" t="s">
        <v>120</v>
      </c>
      <c r="B47" s="40"/>
      <c r="C47" s="40"/>
      <c r="D47" s="41">
        <f>252958-26</f>
        <v>252932</v>
      </c>
    </row>
    <row r="48" spans="1:4" x14ac:dyDescent="0.25">
      <c r="A48" s="42" t="s">
        <v>121</v>
      </c>
      <c r="B48" s="42" t="s">
        <v>122</v>
      </c>
      <c r="C48" s="42" t="s">
        <v>123</v>
      </c>
    </row>
    <row r="49" spans="1:4" x14ac:dyDescent="0.25">
      <c r="A49" s="42" t="s">
        <v>124</v>
      </c>
      <c r="B49" s="42" t="s">
        <v>125</v>
      </c>
      <c r="C49" s="42" t="s">
        <v>126</v>
      </c>
    </row>
    <row r="50" spans="1:4" x14ac:dyDescent="0.25">
      <c r="A50" s="44" t="s">
        <v>127</v>
      </c>
      <c r="B50" s="45"/>
      <c r="C50" s="45"/>
      <c r="D50" s="46">
        <f>SUM(D4:D49)</f>
        <v>28948994</v>
      </c>
    </row>
    <row r="51" spans="1:4" x14ac:dyDescent="0.25">
      <c r="B51" s="42"/>
      <c r="C51" s="42"/>
      <c r="D51" s="43"/>
    </row>
    <row r="52" spans="1:4" x14ac:dyDescent="0.25">
      <c r="A52" s="6" t="s">
        <v>128</v>
      </c>
      <c r="B52" s="47"/>
      <c r="C52" s="47"/>
      <c r="D52" s="41">
        <v>159072789</v>
      </c>
    </row>
    <row r="54" spans="1:4" x14ac:dyDescent="0.25">
      <c r="A54" s="6" t="s">
        <v>129</v>
      </c>
      <c r="B54" s="6"/>
      <c r="C54" s="6"/>
      <c r="D54" s="48">
        <f>D50/D52</f>
        <v>0.18198583291325834</v>
      </c>
    </row>
    <row r="56" spans="1:4" x14ac:dyDescent="0.25">
      <c r="B56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F055-11CF-465D-B0F4-701DCE301364}">
  <dimension ref="A1:O196"/>
  <sheetViews>
    <sheetView workbookViewId="0"/>
  </sheetViews>
  <sheetFormatPr defaultColWidth="9.140625" defaultRowHeight="15.75" x14ac:dyDescent="0.25"/>
  <cols>
    <col min="1" max="1" width="11.7109375" style="2" bestFit="1" customWidth="1"/>
    <col min="2" max="2" width="16.7109375" style="2" bestFit="1" customWidth="1"/>
    <col min="3" max="3" width="32.42578125" style="2" bestFit="1" customWidth="1"/>
    <col min="4" max="4" width="11.85546875" style="10" bestFit="1" customWidth="1"/>
    <col min="5" max="5" width="9.140625" style="2"/>
    <col min="6" max="6" width="35.5703125" style="2" bestFit="1" customWidth="1"/>
    <col min="7" max="7" width="16.140625" style="2" customWidth="1"/>
    <col min="8" max="8" width="14.140625" style="2" bestFit="1" customWidth="1"/>
    <col min="9" max="9" width="14.42578125" style="2" customWidth="1"/>
    <col min="10" max="10" width="7.140625" style="2" bestFit="1" customWidth="1"/>
    <col min="11" max="11" width="9.140625" style="2"/>
    <col min="12" max="15" width="15" style="2" customWidth="1"/>
    <col min="16" max="16384" width="9.140625" style="2"/>
  </cols>
  <sheetData>
    <row r="1" spans="1:15" ht="18.75" x14ac:dyDescent="0.3">
      <c r="A1" s="69" t="s">
        <v>5</v>
      </c>
    </row>
    <row r="3" spans="1:15" x14ac:dyDescent="0.25">
      <c r="A3" s="50" t="s">
        <v>130</v>
      </c>
      <c r="B3" s="50" t="s">
        <v>131</v>
      </c>
      <c r="C3" s="50" t="s">
        <v>133</v>
      </c>
      <c r="D3" s="51" t="s">
        <v>149</v>
      </c>
      <c r="F3" s="58" t="s">
        <v>6</v>
      </c>
      <c r="G3" s="100" t="s">
        <v>150</v>
      </c>
      <c r="H3" s="101"/>
      <c r="I3" s="102"/>
    </row>
    <row r="4" spans="1:15" x14ac:dyDescent="0.25">
      <c r="A4" s="2">
        <v>39417</v>
      </c>
      <c r="B4" s="2" t="s">
        <v>132</v>
      </c>
      <c r="C4" s="2" t="s">
        <v>134</v>
      </c>
      <c r="D4" s="10">
        <v>21350.400000000001</v>
      </c>
      <c r="F4" s="59" t="s">
        <v>151</v>
      </c>
      <c r="G4" s="59" t="s">
        <v>152</v>
      </c>
      <c r="H4" s="59" t="s">
        <v>153</v>
      </c>
      <c r="I4" s="59" t="s">
        <v>154</v>
      </c>
    </row>
    <row r="5" spans="1:15" x14ac:dyDescent="0.25">
      <c r="A5" s="2">
        <v>39417</v>
      </c>
      <c r="B5" s="2" t="s">
        <v>132</v>
      </c>
      <c r="C5" s="2" t="s">
        <v>135</v>
      </c>
      <c r="D5" s="10">
        <v>678.36</v>
      </c>
      <c r="F5" s="2" t="s">
        <v>139</v>
      </c>
      <c r="G5" s="52">
        <f>COUNTIF($C$3:$C$196,F5)</f>
        <v>32</v>
      </c>
      <c r="H5" s="54">
        <f>G5/$G$20</f>
        <v>0.33684210526315789</v>
      </c>
      <c r="I5" s="10">
        <f>_xlfn.IFNA(VLOOKUP(F5,$C$3:$D$196,2,FALSE)*H5,0)</f>
        <v>9191.3835789473669</v>
      </c>
      <c r="L5" s="100" t="s">
        <v>158</v>
      </c>
      <c r="M5" s="101"/>
      <c r="N5" s="101"/>
      <c r="O5" s="102"/>
    </row>
    <row r="6" spans="1:15" x14ac:dyDescent="0.25">
      <c r="A6" s="2">
        <v>39326</v>
      </c>
      <c r="B6" s="2" t="s">
        <v>132</v>
      </c>
      <c r="C6" s="2" t="s">
        <v>136</v>
      </c>
      <c r="D6" s="10">
        <v>10776.84</v>
      </c>
      <c r="F6" s="2" t="s">
        <v>136</v>
      </c>
      <c r="G6" s="52">
        <f t="shared" ref="G6:G19" si="0">COUNTIF($C$3:$C$196,F6)</f>
        <v>17</v>
      </c>
      <c r="H6" s="54">
        <f t="shared" ref="H6:H19" si="1">G6/$G$20</f>
        <v>0.17894736842105263</v>
      </c>
      <c r="I6" s="10">
        <f t="shared" ref="I6:I19" si="2">_xlfn.IFNA(VLOOKUP(F6,$C$3:$D$196,2,FALSE)*H6,0)</f>
        <v>1928.4871578947368</v>
      </c>
      <c r="L6" s="59" t="s">
        <v>159</v>
      </c>
      <c r="M6" s="59" t="s">
        <v>160</v>
      </c>
      <c r="N6" s="59" t="s">
        <v>161</v>
      </c>
      <c r="O6" s="59" t="s">
        <v>162</v>
      </c>
    </row>
    <row r="7" spans="1:15" x14ac:dyDescent="0.25">
      <c r="A7" s="2">
        <v>39326</v>
      </c>
      <c r="B7" s="2" t="s">
        <v>132</v>
      </c>
      <c r="C7" s="2" t="s">
        <v>137</v>
      </c>
      <c r="D7" s="10">
        <v>349.20000000000005</v>
      </c>
      <c r="F7" s="2" t="s">
        <v>146</v>
      </c>
      <c r="G7" s="52">
        <f t="shared" si="0"/>
        <v>6</v>
      </c>
      <c r="H7" s="54">
        <f t="shared" si="1"/>
        <v>6.3157894736842107E-2</v>
      </c>
      <c r="I7" s="10">
        <f t="shared" si="2"/>
        <v>1244.4934736842106</v>
      </c>
      <c r="L7" s="2">
        <v>2210</v>
      </c>
      <c r="M7" s="61">
        <f>O7/L7</f>
        <v>9.1985181233627067</v>
      </c>
      <c r="N7" s="15">
        <f>O7/12</f>
        <v>1694.0604210526317</v>
      </c>
      <c r="O7" s="15">
        <f>I20</f>
        <v>20328.72505263158</v>
      </c>
    </row>
    <row r="8" spans="1:15" x14ac:dyDescent="0.25">
      <c r="A8" s="2">
        <v>39328</v>
      </c>
      <c r="B8" s="2" t="s">
        <v>132</v>
      </c>
      <c r="C8" s="2" t="s">
        <v>138</v>
      </c>
      <c r="D8" s="10">
        <v>27286.92</v>
      </c>
      <c r="F8" s="2" t="s">
        <v>134</v>
      </c>
      <c r="G8" s="52">
        <f t="shared" si="0"/>
        <v>4</v>
      </c>
      <c r="H8" s="54">
        <f t="shared" si="1"/>
        <v>4.2105263157894736E-2</v>
      </c>
      <c r="I8" s="10">
        <f t="shared" si="2"/>
        <v>898.96421052631581</v>
      </c>
    </row>
    <row r="9" spans="1:15" x14ac:dyDescent="0.25">
      <c r="A9" s="2">
        <v>39328</v>
      </c>
      <c r="B9" s="2" t="s">
        <v>132</v>
      </c>
      <c r="C9" s="2" t="s">
        <v>135</v>
      </c>
      <c r="D9" s="10">
        <v>678.36</v>
      </c>
      <c r="F9" s="2" t="s">
        <v>145</v>
      </c>
      <c r="G9" s="52">
        <f t="shared" si="0"/>
        <v>2</v>
      </c>
      <c r="H9" s="54">
        <f t="shared" si="1"/>
        <v>2.1052631578947368E-2</v>
      </c>
      <c r="I9" s="10">
        <f t="shared" si="2"/>
        <v>177.08968421052631</v>
      </c>
    </row>
    <row r="10" spans="1:15" x14ac:dyDescent="0.25">
      <c r="A10" s="2">
        <v>39334</v>
      </c>
      <c r="B10" s="2" t="s">
        <v>132</v>
      </c>
      <c r="C10" s="2" t="s">
        <v>136</v>
      </c>
      <c r="D10" s="10">
        <v>10776.84</v>
      </c>
      <c r="F10" s="2" t="s">
        <v>155</v>
      </c>
      <c r="G10" s="52">
        <f t="shared" si="0"/>
        <v>0</v>
      </c>
      <c r="H10" s="54">
        <f t="shared" si="1"/>
        <v>0</v>
      </c>
      <c r="I10" s="10">
        <f t="shared" si="2"/>
        <v>0</v>
      </c>
    </row>
    <row r="11" spans="1:15" x14ac:dyDescent="0.25">
      <c r="A11" s="2">
        <v>39334</v>
      </c>
      <c r="B11" s="2" t="s">
        <v>132</v>
      </c>
      <c r="C11" s="2" t="s">
        <v>137</v>
      </c>
      <c r="D11" s="10">
        <v>349.20000000000005</v>
      </c>
      <c r="F11" s="2" t="s">
        <v>140</v>
      </c>
      <c r="G11" s="52">
        <f t="shared" si="0"/>
        <v>6</v>
      </c>
      <c r="H11" s="54">
        <f t="shared" si="1"/>
        <v>6.3157894736842107E-2</v>
      </c>
      <c r="I11" s="10">
        <f t="shared" si="2"/>
        <v>1538.4732631578947</v>
      </c>
    </row>
    <row r="12" spans="1:15" x14ac:dyDescent="0.25">
      <c r="A12" s="2">
        <v>39336</v>
      </c>
      <c r="B12" s="2" t="s">
        <v>132</v>
      </c>
      <c r="C12" s="2" t="s">
        <v>139</v>
      </c>
      <c r="D12" s="10">
        <v>27286.92</v>
      </c>
      <c r="F12" s="2" t="s">
        <v>144</v>
      </c>
      <c r="G12" s="52">
        <f t="shared" si="0"/>
        <v>4</v>
      </c>
      <c r="H12" s="54">
        <f t="shared" si="1"/>
        <v>4.2105263157894736E-2</v>
      </c>
      <c r="I12" s="10">
        <f t="shared" si="2"/>
        <v>404.38231578947369</v>
      </c>
    </row>
    <row r="13" spans="1:15" x14ac:dyDescent="0.25">
      <c r="A13" s="2">
        <v>39336</v>
      </c>
      <c r="B13" s="2" t="s">
        <v>132</v>
      </c>
      <c r="C13" s="2" t="s">
        <v>135</v>
      </c>
      <c r="D13" s="10">
        <v>678.36</v>
      </c>
      <c r="F13" s="2" t="s">
        <v>148</v>
      </c>
      <c r="G13" s="52">
        <f t="shared" si="0"/>
        <v>6</v>
      </c>
      <c r="H13" s="54">
        <f t="shared" si="1"/>
        <v>6.3157894736842107E-2</v>
      </c>
      <c r="I13" s="10">
        <f t="shared" si="2"/>
        <v>1038.725052631579</v>
      </c>
    </row>
    <row r="14" spans="1:15" x14ac:dyDescent="0.25">
      <c r="A14" s="2">
        <v>39338</v>
      </c>
      <c r="B14" s="2" t="s">
        <v>132</v>
      </c>
      <c r="C14" s="2" t="s">
        <v>140</v>
      </c>
      <c r="D14" s="10">
        <v>24359.16</v>
      </c>
      <c r="F14" s="2" t="s">
        <v>143</v>
      </c>
      <c r="G14" s="52">
        <f t="shared" si="0"/>
        <v>11</v>
      </c>
      <c r="H14" s="54">
        <f t="shared" si="1"/>
        <v>0.11578947368421053</v>
      </c>
      <c r="I14" s="10">
        <f t="shared" si="2"/>
        <v>2771.0134736842106</v>
      </c>
    </row>
    <row r="15" spans="1:15" x14ac:dyDescent="0.25">
      <c r="A15" s="2">
        <v>39338</v>
      </c>
      <c r="B15" s="2" t="s">
        <v>132</v>
      </c>
      <c r="C15" s="2" t="s">
        <v>135</v>
      </c>
      <c r="D15" s="10">
        <v>678.36</v>
      </c>
      <c r="F15" s="2" t="s">
        <v>141</v>
      </c>
      <c r="G15" s="52">
        <f t="shared" si="0"/>
        <v>3</v>
      </c>
      <c r="H15" s="54">
        <f t="shared" si="1"/>
        <v>3.1578947368421054E-2</v>
      </c>
      <c r="I15" s="10">
        <f t="shared" si="2"/>
        <v>300.68336842105265</v>
      </c>
    </row>
    <row r="16" spans="1:15" x14ac:dyDescent="0.25">
      <c r="A16" s="2">
        <v>39340</v>
      </c>
      <c r="B16" s="2" t="s">
        <v>132</v>
      </c>
      <c r="C16" s="2" t="s">
        <v>141</v>
      </c>
      <c r="D16" s="10">
        <v>9521.64</v>
      </c>
      <c r="F16" s="2" t="s">
        <v>142</v>
      </c>
      <c r="G16" s="52">
        <f t="shared" si="0"/>
        <v>3</v>
      </c>
      <c r="H16" s="54">
        <f t="shared" si="1"/>
        <v>3.1578947368421054E-2</v>
      </c>
      <c r="I16" s="10">
        <f t="shared" si="2"/>
        <v>547.7987368421052</v>
      </c>
    </row>
    <row r="17" spans="1:15" x14ac:dyDescent="0.25">
      <c r="A17" s="2">
        <v>39340</v>
      </c>
      <c r="B17" s="2" t="s">
        <v>132</v>
      </c>
      <c r="C17" s="2" t="s">
        <v>137</v>
      </c>
      <c r="D17" s="10">
        <v>349.20000000000005</v>
      </c>
      <c r="F17" s="2" t="s">
        <v>138</v>
      </c>
      <c r="G17" s="52">
        <f t="shared" si="0"/>
        <v>1</v>
      </c>
      <c r="H17" s="54">
        <f t="shared" si="1"/>
        <v>1.0526315789473684E-2</v>
      </c>
      <c r="I17" s="10">
        <f t="shared" si="2"/>
        <v>287.23073684210522</v>
      </c>
    </row>
    <row r="18" spans="1:15" x14ac:dyDescent="0.25">
      <c r="A18" s="2">
        <v>39342</v>
      </c>
      <c r="B18" s="2" t="s">
        <v>132</v>
      </c>
      <c r="C18" s="2" t="s">
        <v>134</v>
      </c>
      <c r="D18" s="10">
        <v>21350.400000000001</v>
      </c>
      <c r="F18" s="2" t="s">
        <v>156</v>
      </c>
      <c r="G18" s="52">
        <f t="shared" si="0"/>
        <v>0</v>
      </c>
      <c r="H18" s="54">
        <f t="shared" si="1"/>
        <v>0</v>
      </c>
      <c r="I18" s="10">
        <f t="shared" si="2"/>
        <v>0</v>
      </c>
    </row>
    <row r="19" spans="1:15" x14ac:dyDescent="0.25">
      <c r="A19" s="2">
        <v>39342</v>
      </c>
      <c r="B19" s="2" t="s">
        <v>132</v>
      </c>
      <c r="C19" s="2" t="s">
        <v>135</v>
      </c>
      <c r="D19" s="10">
        <v>678.36</v>
      </c>
      <c r="F19" s="4" t="s">
        <v>157</v>
      </c>
      <c r="G19" s="53">
        <f t="shared" si="0"/>
        <v>0</v>
      </c>
      <c r="H19" s="57">
        <f t="shared" si="1"/>
        <v>0</v>
      </c>
      <c r="I19" s="55">
        <f t="shared" si="2"/>
        <v>0</v>
      </c>
    </row>
    <row r="20" spans="1:15" x14ac:dyDescent="0.25">
      <c r="A20" s="2">
        <v>39343</v>
      </c>
      <c r="B20" s="2" t="s">
        <v>132</v>
      </c>
      <c r="C20" s="2" t="s">
        <v>142</v>
      </c>
      <c r="D20" s="10">
        <v>17346.96</v>
      </c>
      <c r="G20" s="52">
        <f>SUM(G5:G19)</f>
        <v>95</v>
      </c>
      <c r="H20" s="56">
        <f>SUM(H5:H19)</f>
        <v>1</v>
      </c>
      <c r="I20" s="15">
        <f>SUM(I5:I19)</f>
        <v>20328.72505263158</v>
      </c>
    </row>
    <row r="21" spans="1:15" x14ac:dyDescent="0.25">
      <c r="A21" s="2">
        <v>39343</v>
      </c>
      <c r="B21" s="2" t="s">
        <v>132</v>
      </c>
      <c r="C21" s="2" t="s">
        <v>137</v>
      </c>
      <c r="D21" s="10">
        <v>349.20000000000005</v>
      </c>
    </row>
    <row r="22" spans="1:15" x14ac:dyDescent="0.25">
      <c r="A22" s="2">
        <v>39345</v>
      </c>
      <c r="B22" s="2" t="s">
        <v>132</v>
      </c>
      <c r="C22" s="2" t="s">
        <v>135</v>
      </c>
      <c r="D22" s="10">
        <v>678.36</v>
      </c>
    </row>
    <row r="23" spans="1:15" x14ac:dyDescent="0.25">
      <c r="A23" s="2">
        <v>39470</v>
      </c>
      <c r="B23" s="2" t="s">
        <v>132</v>
      </c>
      <c r="C23" s="2" t="s">
        <v>139</v>
      </c>
      <c r="D23" s="10">
        <v>27286.92</v>
      </c>
      <c r="F23" s="58" t="s">
        <v>6</v>
      </c>
      <c r="G23" s="100" t="s">
        <v>150</v>
      </c>
      <c r="H23" s="101"/>
      <c r="I23" s="102"/>
      <c r="L23" s="100" t="s">
        <v>158</v>
      </c>
      <c r="M23" s="101"/>
      <c r="N23" s="101"/>
      <c r="O23" s="102"/>
    </row>
    <row r="24" spans="1:15" x14ac:dyDescent="0.25">
      <c r="A24" s="2">
        <v>39470</v>
      </c>
      <c r="B24" s="2" t="s">
        <v>132</v>
      </c>
      <c r="C24" s="2" t="s">
        <v>135</v>
      </c>
      <c r="D24" s="10">
        <v>678.36</v>
      </c>
      <c r="F24" s="59" t="s">
        <v>151</v>
      </c>
      <c r="G24" s="59" t="s">
        <v>152</v>
      </c>
      <c r="H24" s="59" t="s">
        <v>153</v>
      </c>
      <c r="I24" s="59" t="s">
        <v>154</v>
      </c>
      <c r="L24" s="59" t="s">
        <v>159</v>
      </c>
      <c r="M24" s="59" t="s">
        <v>160</v>
      </c>
      <c r="N24" s="59" t="s">
        <v>161</v>
      </c>
      <c r="O24" s="59" t="s">
        <v>162</v>
      </c>
    </row>
    <row r="25" spans="1:15" x14ac:dyDescent="0.25">
      <c r="A25" s="2">
        <v>39371</v>
      </c>
      <c r="B25" s="2" t="s">
        <v>132</v>
      </c>
      <c r="C25" s="2" t="s">
        <v>143</v>
      </c>
      <c r="D25" s="10">
        <v>23931.48</v>
      </c>
      <c r="F25" s="2" t="s">
        <v>135</v>
      </c>
      <c r="G25" s="52">
        <f>COUNTIF($C$3:$C$196,F25)</f>
        <v>54</v>
      </c>
      <c r="H25" s="54">
        <f>G25/$G$28</f>
        <v>0.55102040816326525</v>
      </c>
      <c r="I25" s="10">
        <f>_xlfn.IFNA(VLOOKUP(F25,$C$3:$D$196,2,FALSE)*H25,0)</f>
        <v>373.79020408163262</v>
      </c>
      <c r="L25" s="2">
        <v>2210</v>
      </c>
      <c r="M25" s="61">
        <f>O25/L25</f>
        <v>0.26417286914765903</v>
      </c>
      <c r="N25" s="15">
        <f>O25/12</f>
        <v>48.651836734693866</v>
      </c>
      <c r="O25" s="15">
        <f>I28</f>
        <v>583.82204081632642</v>
      </c>
    </row>
    <row r="26" spans="1:15" x14ac:dyDescent="0.25">
      <c r="A26" s="2">
        <v>39371</v>
      </c>
      <c r="B26" s="2" t="s">
        <v>132</v>
      </c>
      <c r="C26" s="2" t="s">
        <v>135</v>
      </c>
      <c r="D26" s="10">
        <v>678.36</v>
      </c>
      <c r="F26" s="2" t="s">
        <v>137</v>
      </c>
      <c r="G26" s="52">
        <f t="shared" ref="G26:G27" si="3">COUNTIF($C$3:$C$196,F26)</f>
        <v>27</v>
      </c>
      <c r="H26" s="54">
        <f t="shared" ref="H26:H27" si="4">G26/$G$28</f>
        <v>0.27551020408163263</v>
      </c>
      <c r="I26" s="10">
        <f>_xlfn.IFNA(VLOOKUP(F26,$C$3:$D$196,2,FALSE)*H26,0)</f>
        <v>96.208163265306126</v>
      </c>
    </row>
    <row r="27" spans="1:15" x14ac:dyDescent="0.25">
      <c r="A27" s="2">
        <v>39373</v>
      </c>
      <c r="B27" s="2" t="s">
        <v>132</v>
      </c>
      <c r="C27" s="2" t="s">
        <v>139</v>
      </c>
      <c r="D27" s="10">
        <v>27286.92</v>
      </c>
      <c r="F27" s="4" t="s">
        <v>147</v>
      </c>
      <c r="G27" s="53">
        <f t="shared" si="3"/>
        <v>17</v>
      </c>
      <c r="H27" s="57">
        <f t="shared" si="4"/>
        <v>0.17346938775510204</v>
      </c>
      <c r="I27" s="55">
        <f>_xlfn.IFNA(VLOOKUP(F27,$C$3:$D$196,2,FALSE)*H27,0)</f>
        <v>113.82367346938774</v>
      </c>
    </row>
    <row r="28" spans="1:15" x14ac:dyDescent="0.25">
      <c r="A28" s="2">
        <v>39373</v>
      </c>
      <c r="B28" s="2" t="s">
        <v>132</v>
      </c>
      <c r="C28" s="2" t="s">
        <v>135</v>
      </c>
      <c r="D28" s="10">
        <v>678.36</v>
      </c>
      <c r="G28" s="52">
        <f>SUM(G25:G27)</f>
        <v>98</v>
      </c>
      <c r="H28" s="56">
        <f>SUM(H25:H27)</f>
        <v>0.99999999999999989</v>
      </c>
      <c r="I28" s="15">
        <f>SUM(I25:I27)</f>
        <v>583.82204081632642</v>
      </c>
    </row>
    <row r="29" spans="1:15" x14ac:dyDescent="0.25">
      <c r="A29" s="2">
        <v>39267</v>
      </c>
      <c r="B29" s="2" t="s">
        <v>132</v>
      </c>
      <c r="C29" s="2" t="s">
        <v>140</v>
      </c>
      <c r="D29" s="10">
        <v>24359.16</v>
      </c>
    </row>
    <row r="30" spans="1:15" x14ac:dyDescent="0.25">
      <c r="A30" s="2">
        <v>39267</v>
      </c>
      <c r="B30" s="2" t="s">
        <v>132</v>
      </c>
      <c r="C30" s="2" t="s">
        <v>135</v>
      </c>
      <c r="D30" s="10">
        <v>678.36</v>
      </c>
      <c r="H30" s="103" t="s">
        <v>169</v>
      </c>
      <c r="I30" s="104"/>
    </row>
    <row r="31" spans="1:15" x14ac:dyDescent="0.25">
      <c r="A31" s="2">
        <v>39375</v>
      </c>
      <c r="B31" s="2" t="s">
        <v>132</v>
      </c>
      <c r="C31" s="2" t="s">
        <v>139</v>
      </c>
      <c r="D31" s="10">
        <v>27286.92</v>
      </c>
      <c r="F31" s="62" t="s">
        <v>163</v>
      </c>
      <c r="G31" s="62"/>
      <c r="H31" s="62" t="s">
        <v>167</v>
      </c>
      <c r="I31" s="65">
        <v>7.6499999999999999E-2</v>
      </c>
      <c r="J31" s="62"/>
    </row>
    <row r="32" spans="1:15" x14ac:dyDescent="0.25">
      <c r="A32" s="2">
        <v>39375</v>
      </c>
      <c r="B32" s="2" t="s">
        <v>132</v>
      </c>
      <c r="C32" s="2" t="s">
        <v>135</v>
      </c>
      <c r="D32" s="10">
        <v>678.36</v>
      </c>
      <c r="F32" s="63" t="s">
        <v>164</v>
      </c>
      <c r="G32" s="62"/>
      <c r="H32" s="62" t="s">
        <v>168</v>
      </c>
      <c r="I32" s="65">
        <v>0.17810000000000001</v>
      </c>
      <c r="J32" s="62"/>
    </row>
    <row r="33" spans="1:10" x14ac:dyDescent="0.25">
      <c r="A33" s="2">
        <v>39383</v>
      </c>
      <c r="B33" s="2" t="s">
        <v>132</v>
      </c>
      <c r="C33" s="2" t="s">
        <v>140</v>
      </c>
      <c r="D33" s="10">
        <v>24359.16</v>
      </c>
      <c r="F33" s="62">
        <v>2063</v>
      </c>
      <c r="G33" s="62" t="s">
        <v>165</v>
      </c>
      <c r="H33" s="62"/>
      <c r="I33" s="62"/>
      <c r="J33" s="62"/>
    </row>
    <row r="34" spans="1:10" x14ac:dyDescent="0.25">
      <c r="A34" s="2">
        <v>39383</v>
      </c>
      <c r="B34" s="2" t="s">
        <v>132</v>
      </c>
      <c r="C34" s="2" t="s">
        <v>135</v>
      </c>
      <c r="D34" s="10">
        <v>678.36</v>
      </c>
      <c r="F34" s="64">
        <v>47.055138038624989</v>
      </c>
      <c r="G34" s="64" t="s">
        <v>166</v>
      </c>
      <c r="H34" s="62"/>
      <c r="I34" s="62"/>
      <c r="J34" s="62"/>
    </row>
    <row r="35" spans="1:10" x14ac:dyDescent="0.25">
      <c r="A35" s="2">
        <v>39385</v>
      </c>
      <c r="B35" s="2" t="s">
        <v>132</v>
      </c>
      <c r="C35" s="2" t="s">
        <v>139</v>
      </c>
      <c r="D35" s="10">
        <v>27286.92</v>
      </c>
      <c r="F35" s="61">
        <f>(((F34*F33)/1000)*0.075)/F33</f>
        <v>3.5291353528968741E-3</v>
      </c>
      <c r="G35" s="62"/>
      <c r="H35" s="62"/>
      <c r="I35" s="62"/>
      <c r="J35" s="62"/>
    </row>
    <row r="36" spans="1:10" x14ac:dyDescent="0.25">
      <c r="A36" s="2">
        <v>39385</v>
      </c>
      <c r="B36" s="2" t="s">
        <v>132</v>
      </c>
      <c r="C36" s="2" t="s">
        <v>135</v>
      </c>
      <c r="D36" s="10">
        <v>678.36</v>
      </c>
    </row>
    <row r="37" spans="1:10" x14ac:dyDescent="0.25">
      <c r="A37" s="2">
        <v>39387</v>
      </c>
      <c r="B37" s="2" t="s">
        <v>132</v>
      </c>
      <c r="C37" s="2" t="s">
        <v>136</v>
      </c>
      <c r="D37" s="10">
        <v>10776.84</v>
      </c>
    </row>
    <row r="38" spans="1:10" x14ac:dyDescent="0.25">
      <c r="A38" s="2">
        <v>39387</v>
      </c>
      <c r="B38" s="2" t="s">
        <v>132</v>
      </c>
      <c r="C38" s="2" t="s">
        <v>137</v>
      </c>
      <c r="D38" s="10">
        <v>349.20000000000005</v>
      </c>
    </row>
    <row r="39" spans="1:10" x14ac:dyDescent="0.25">
      <c r="A39" s="2">
        <v>39389</v>
      </c>
      <c r="B39" s="2" t="s">
        <v>132</v>
      </c>
      <c r="C39" s="2" t="s">
        <v>143</v>
      </c>
      <c r="D39" s="10">
        <v>23931.48</v>
      </c>
    </row>
    <row r="40" spans="1:10" x14ac:dyDescent="0.25">
      <c r="A40" s="2">
        <v>39389</v>
      </c>
      <c r="B40" s="2" t="s">
        <v>132</v>
      </c>
      <c r="C40" s="2" t="s">
        <v>135</v>
      </c>
      <c r="D40" s="10">
        <v>678.36</v>
      </c>
    </row>
    <row r="41" spans="1:10" x14ac:dyDescent="0.25">
      <c r="A41" s="2">
        <v>39391</v>
      </c>
      <c r="B41" s="2" t="s">
        <v>132</v>
      </c>
      <c r="C41" s="2" t="s">
        <v>144</v>
      </c>
      <c r="D41" s="10">
        <v>9604.08</v>
      </c>
    </row>
    <row r="42" spans="1:10" x14ac:dyDescent="0.25">
      <c r="A42" s="2">
        <v>39391</v>
      </c>
      <c r="B42" s="2" t="s">
        <v>132</v>
      </c>
      <c r="C42" s="2" t="s">
        <v>137</v>
      </c>
      <c r="D42" s="10">
        <v>349.20000000000005</v>
      </c>
    </row>
    <row r="43" spans="1:10" x14ac:dyDescent="0.25">
      <c r="A43" s="2">
        <v>39392</v>
      </c>
      <c r="B43" s="2" t="s">
        <v>132</v>
      </c>
      <c r="C43" s="2" t="s">
        <v>139</v>
      </c>
      <c r="D43" s="10">
        <v>27286.92</v>
      </c>
    </row>
    <row r="44" spans="1:10" x14ac:dyDescent="0.25">
      <c r="A44" s="2">
        <v>39394</v>
      </c>
      <c r="B44" s="2" t="s">
        <v>132</v>
      </c>
      <c r="C44" s="2" t="s">
        <v>145</v>
      </c>
      <c r="D44" s="10">
        <v>8411.76</v>
      </c>
    </row>
    <row r="45" spans="1:10" x14ac:dyDescent="0.25">
      <c r="A45" s="2">
        <v>39394</v>
      </c>
      <c r="B45" s="2" t="s">
        <v>132</v>
      </c>
      <c r="C45" s="2" t="s">
        <v>137</v>
      </c>
      <c r="D45" s="10">
        <v>349.20000000000005</v>
      </c>
    </row>
    <row r="46" spans="1:10" x14ac:dyDescent="0.25">
      <c r="A46" s="2">
        <v>39398</v>
      </c>
      <c r="B46" s="2" t="s">
        <v>132</v>
      </c>
      <c r="C46" s="2" t="s">
        <v>145</v>
      </c>
      <c r="D46" s="10">
        <v>8411.76</v>
      </c>
    </row>
    <row r="47" spans="1:10" x14ac:dyDescent="0.25">
      <c r="A47" s="2">
        <v>39398</v>
      </c>
      <c r="B47" s="2" t="s">
        <v>132</v>
      </c>
      <c r="C47" s="2" t="s">
        <v>137</v>
      </c>
      <c r="D47" s="10">
        <v>349.20000000000005</v>
      </c>
    </row>
    <row r="48" spans="1:10" x14ac:dyDescent="0.25">
      <c r="A48" s="2">
        <v>39400</v>
      </c>
      <c r="B48" s="2" t="s">
        <v>132</v>
      </c>
      <c r="C48" s="2" t="s">
        <v>139</v>
      </c>
      <c r="D48" s="10">
        <v>27286.92</v>
      </c>
    </row>
    <row r="49" spans="1:4" x14ac:dyDescent="0.25">
      <c r="A49" s="2">
        <v>39400</v>
      </c>
      <c r="B49" s="2" t="s">
        <v>132</v>
      </c>
      <c r="C49" s="2" t="s">
        <v>135</v>
      </c>
      <c r="D49" s="10">
        <v>678.36</v>
      </c>
    </row>
    <row r="50" spans="1:4" x14ac:dyDescent="0.25">
      <c r="A50" s="2">
        <v>39402</v>
      </c>
      <c r="B50" s="2" t="s">
        <v>132</v>
      </c>
      <c r="C50" s="2" t="s">
        <v>139</v>
      </c>
      <c r="D50" s="10">
        <v>27286.92</v>
      </c>
    </row>
    <row r="51" spans="1:4" x14ac:dyDescent="0.25">
      <c r="A51" s="2">
        <v>39402</v>
      </c>
      <c r="B51" s="2" t="s">
        <v>132</v>
      </c>
      <c r="C51" s="2" t="s">
        <v>135</v>
      </c>
      <c r="D51" s="10">
        <v>678.36</v>
      </c>
    </row>
    <row r="52" spans="1:4" x14ac:dyDescent="0.25">
      <c r="A52" s="2">
        <v>39406</v>
      </c>
      <c r="B52" s="2" t="s">
        <v>132</v>
      </c>
      <c r="C52" s="2" t="s">
        <v>136</v>
      </c>
      <c r="D52" s="10">
        <v>10776.84</v>
      </c>
    </row>
    <row r="53" spans="1:4" x14ac:dyDescent="0.25">
      <c r="A53" s="2">
        <v>39406</v>
      </c>
      <c r="B53" s="2" t="s">
        <v>132</v>
      </c>
      <c r="C53" s="2" t="s">
        <v>137</v>
      </c>
      <c r="D53" s="10">
        <v>349.20000000000005</v>
      </c>
    </row>
    <row r="54" spans="1:4" x14ac:dyDescent="0.25">
      <c r="A54" s="2">
        <v>39409</v>
      </c>
      <c r="B54" s="2" t="s">
        <v>132</v>
      </c>
      <c r="C54" s="2" t="s">
        <v>134</v>
      </c>
      <c r="D54" s="10">
        <v>21350.400000000001</v>
      </c>
    </row>
    <row r="55" spans="1:4" x14ac:dyDescent="0.25">
      <c r="A55" s="2">
        <v>39409</v>
      </c>
      <c r="B55" s="2" t="s">
        <v>132</v>
      </c>
      <c r="C55" s="2" t="s">
        <v>135</v>
      </c>
      <c r="D55" s="10">
        <v>678.36</v>
      </c>
    </row>
    <row r="56" spans="1:4" x14ac:dyDescent="0.25">
      <c r="A56" s="2">
        <v>39411</v>
      </c>
      <c r="B56" s="2" t="s">
        <v>132</v>
      </c>
      <c r="C56" s="2" t="s">
        <v>139</v>
      </c>
      <c r="D56" s="10">
        <v>27286.92</v>
      </c>
    </row>
    <row r="57" spans="1:4" x14ac:dyDescent="0.25">
      <c r="A57" s="2">
        <v>39411</v>
      </c>
      <c r="B57" s="2" t="s">
        <v>132</v>
      </c>
      <c r="C57" s="2" t="s">
        <v>135</v>
      </c>
      <c r="D57" s="10">
        <v>678.36</v>
      </c>
    </row>
    <row r="58" spans="1:4" x14ac:dyDescent="0.25">
      <c r="A58" s="2">
        <v>39419</v>
      </c>
      <c r="B58" s="2" t="s">
        <v>132</v>
      </c>
      <c r="C58" s="2" t="s">
        <v>139</v>
      </c>
      <c r="D58" s="10">
        <v>27286.92</v>
      </c>
    </row>
    <row r="59" spans="1:4" x14ac:dyDescent="0.25">
      <c r="A59" s="2">
        <v>39419</v>
      </c>
      <c r="B59" s="2" t="s">
        <v>132</v>
      </c>
      <c r="C59" s="2" t="s">
        <v>135</v>
      </c>
      <c r="D59" s="10">
        <v>678.36</v>
      </c>
    </row>
    <row r="60" spans="1:4" x14ac:dyDescent="0.25">
      <c r="A60" s="2">
        <v>39421</v>
      </c>
      <c r="B60" s="2" t="s">
        <v>132</v>
      </c>
      <c r="C60" s="2" t="s">
        <v>146</v>
      </c>
      <c r="D60" s="10">
        <v>19704.48</v>
      </c>
    </row>
    <row r="61" spans="1:4" x14ac:dyDescent="0.25">
      <c r="A61" s="2">
        <v>39421</v>
      </c>
      <c r="B61" s="2" t="s">
        <v>132</v>
      </c>
      <c r="C61" s="2" t="s">
        <v>147</v>
      </c>
      <c r="D61" s="10">
        <v>656.16</v>
      </c>
    </row>
    <row r="62" spans="1:4" x14ac:dyDescent="0.25">
      <c r="A62" s="2">
        <v>39423</v>
      </c>
      <c r="B62" s="2" t="s">
        <v>132</v>
      </c>
      <c r="C62" s="2" t="s">
        <v>136</v>
      </c>
      <c r="D62" s="10">
        <v>10776.84</v>
      </c>
    </row>
    <row r="63" spans="1:4" x14ac:dyDescent="0.25">
      <c r="A63" s="2">
        <v>39423</v>
      </c>
      <c r="B63" s="2" t="s">
        <v>132</v>
      </c>
      <c r="C63" s="2" t="s">
        <v>137</v>
      </c>
      <c r="D63" s="10">
        <v>349.20000000000005</v>
      </c>
    </row>
    <row r="64" spans="1:4" x14ac:dyDescent="0.25">
      <c r="A64" s="2">
        <v>39427</v>
      </c>
      <c r="B64" s="2" t="s">
        <v>132</v>
      </c>
      <c r="C64" s="2" t="s">
        <v>139</v>
      </c>
      <c r="D64" s="10">
        <v>27286.92</v>
      </c>
    </row>
    <row r="65" spans="1:4" x14ac:dyDescent="0.25">
      <c r="A65" s="2">
        <v>39427</v>
      </c>
      <c r="B65" s="2" t="s">
        <v>132</v>
      </c>
      <c r="C65" s="2" t="s">
        <v>135</v>
      </c>
      <c r="D65" s="10">
        <v>678.36</v>
      </c>
    </row>
    <row r="66" spans="1:4" x14ac:dyDescent="0.25">
      <c r="A66" s="2">
        <v>39296</v>
      </c>
      <c r="B66" s="2" t="s">
        <v>132</v>
      </c>
      <c r="C66" s="2" t="s">
        <v>143</v>
      </c>
      <c r="D66" s="10">
        <v>23931.48</v>
      </c>
    </row>
    <row r="67" spans="1:4" x14ac:dyDescent="0.25">
      <c r="A67" s="2">
        <v>39296</v>
      </c>
      <c r="B67" s="2" t="s">
        <v>132</v>
      </c>
      <c r="C67" s="2" t="s">
        <v>147</v>
      </c>
      <c r="D67" s="10">
        <v>656.16</v>
      </c>
    </row>
    <row r="68" spans="1:4" x14ac:dyDescent="0.25">
      <c r="A68" s="2">
        <v>39298</v>
      </c>
      <c r="B68" s="2" t="s">
        <v>132</v>
      </c>
      <c r="C68" s="2" t="s">
        <v>136</v>
      </c>
      <c r="D68" s="10">
        <v>10776.84</v>
      </c>
    </row>
    <row r="69" spans="1:4" x14ac:dyDescent="0.25">
      <c r="A69" s="2">
        <v>39298</v>
      </c>
      <c r="B69" s="2" t="s">
        <v>132</v>
      </c>
      <c r="C69" s="2" t="s">
        <v>137</v>
      </c>
      <c r="D69" s="10">
        <v>349.20000000000005</v>
      </c>
    </row>
    <row r="70" spans="1:4" x14ac:dyDescent="0.25">
      <c r="A70" s="2">
        <v>39300</v>
      </c>
      <c r="B70" s="2" t="s">
        <v>132</v>
      </c>
      <c r="C70" s="2" t="s">
        <v>140</v>
      </c>
      <c r="D70" s="10">
        <v>24359.16</v>
      </c>
    </row>
    <row r="71" spans="1:4" x14ac:dyDescent="0.25">
      <c r="A71" s="2">
        <v>39300</v>
      </c>
      <c r="B71" s="2" t="s">
        <v>132</v>
      </c>
      <c r="C71" s="2" t="s">
        <v>135</v>
      </c>
      <c r="D71" s="10">
        <v>678.36</v>
      </c>
    </row>
    <row r="72" spans="1:4" x14ac:dyDescent="0.25">
      <c r="A72" s="2">
        <v>39314</v>
      </c>
      <c r="B72" s="2" t="s">
        <v>132</v>
      </c>
      <c r="C72" s="2" t="s">
        <v>136</v>
      </c>
      <c r="D72" s="10">
        <v>10776.84</v>
      </c>
    </row>
    <row r="73" spans="1:4" x14ac:dyDescent="0.25">
      <c r="A73" s="2">
        <v>39314</v>
      </c>
      <c r="B73" s="2" t="s">
        <v>132</v>
      </c>
      <c r="C73" s="2" t="s">
        <v>137</v>
      </c>
      <c r="D73" s="10">
        <v>349.20000000000005</v>
      </c>
    </row>
    <row r="74" spans="1:4" x14ac:dyDescent="0.25">
      <c r="A74" s="2">
        <v>39320</v>
      </c>
      <c r="B74" s="2" t="s">
        <v>132</v>
      </c>
      <c r="C74" s="2" t="s">
        <v>141</v>
      </c>
      <c r="D74" s="10">
        <v>9521.64</v>
      </c>
    </row>
    <row r="75" spans="1:4" x14ac:dyDescent="0.25">
      <c r="A75" s="2">
        <v>39320</v>
      </c>
      <c r="B75" s="2" t="s">
        <v>132</v>
      </c>
      <c r="C75" s="2" t="s">
        <v>137</v>
      </c>
      <c r="D75" s="10">
        <v>349.20000000000005</v>
      </c>
    </row>
    <row r="76" spans="1:4" x14ac:dyDescent="0.25">
      <c r="A76" s="2">
        <v>39322</v>
      </c>
      <c r="B76" s="2" t="s">
        <v>132</v>
      </c>
      <c r="C76" s="2" t="s">
        <v>136</v>
      </c>
      <c r="D76" s="10">
        <v>10776.84</v>
      </c>
    </row>
    <row r="77" spans="1:4" x14ac:dyDescent="0.25">
      <c r="A77" s="2">
        <v>39322</v>
      </c>
      <c r="B77" s="2" t="s">
        <v>132</v>
      </c>
      <c r="C77" s="2" t="s">
        <v>137</v>
      </c>
      <c r="D77" s="10">
        <v>349.20000000000005</v>
      </c>
    </row>
    <row r="78" spans="1:4" x14ac:dyDescent="0.25">
      <c r="A78" s="2">
        <v>39324</v>
      </c>
      <c r="B78" s="2" t="s">
        <v>132</v>
      </c>
      <c r="C78" s="2" t="s">
        <v>146</v>
      </c>
      <c r="D78" s="10">
        <v>19704.48</v>
      </c>
    </row>
    <row r="79" spans="1:4" x14ac:dyDescent="0.25">
      <c r="A79" s="2">
        <v>39324</v>
      </c>
      <c r="B79" s="2" t="s">
        <v>132</v>
      </c>
      <c r="C79" s="2" t="s">
        <v>147</v>
      </c>
      <c r="D79" s="10">
        <v>656.16</v>
      </c>
    </row>
    <row r="80" spans="1:4" x14ac:dyDescent="0.25">
      <c r="A80" s="2">
        <v>39327</v>
      </c>
      <c r="B80" s="2" t="s">
        <v>132</v>
      </c>
      <c r="C80" s="2" t="s">
        <v>139</v>
      </c>
      <c r="D80" s="10">
        <v>27286.92</v>
      </c>
    </row>
    <row r="81" spans="1:4" x14ac:dyDescent="0.25">
      <c r="A81" s="2">
        <v>39327</v>
      </c>
      <c r="B81" s="2" t="s">
        <v>132</v>
      </c>
      <c r="C81" s="2" t="s">
        <v>135</v>
      </c>
      <c r="D81" s="10">
        <v>678.36</v>
      </c>
    </row>
    <row r="82" spans="1:4" x14ac:dyDescent="0.25">
      <c r="A82" s="2">
        <v>39331</v>
      </c>
      <c r="B82" s="2" t="s">
        <v>132</v>
      </c>
      <c r="C82" s="2" t="s">
        <v>139</v>
      </c>
      <c r="D82" s="10">
        <v>27286.92</v>
      </c>
    </row>
    <row r="83" spans="1:4" x14ac:dyDescent="0.25">
      <c r="A83" s="2">
        <v>39331</v>
      </c>
      <c r="B83" s="2" t="s">
        <v>132</v>
      </c>
      <c r="C83" s="2" t="s">
        <v>135</v>
      </c>
      <c r="D83" s="10">
        <v>678.36</v>
      </c>
    </row>
    <row r="84" spans="1:4" x14ac:dyDescent="0.25">
      <c r="A84" s="2">
        <v>39333</v>
      </c>
      <c r="B84" s="2" t="s">
        <v>132</v>
      </c>
      <c r="C84" s="2" t="s">
        <v>136</v>
      </c>
      <c r="D84" s="10">
        <v>10776.84</v>
      </c>
    </row>
    <row r="85" spans="1:4" x14ac:dyDescent="0.25">
      <c r="A85" s="2">
        <v>39333</v>
      </c>
      <c r="B85" s="2" t="s">
        <v>132</v>
      </c>
      <c r="C85" s="2" t="s">
        <v>137</v>
      </c>
      <c r="D85" s="10">
        <v>349.20000000000005</v>
      </c>
    </row>
    <row r="86" spans="1:4" x14ac:dyDescent="0.25">
      <c r="A86" s="2">
        <v>39335</v>
      </c>
      <c r="B86" s="2" t="s">
        <v>132</v>
      </c>
      <c r="C86" s="2" t="s">
        <v>139</v>
      </c>
      <c r="D86" s="10">
        <v>27286.92</v>
      </c>
    </row>
    <row r="87" spans="1:4" x14ac:dyDescent="0.25">
      <c r="A87" s="2">
        <v>39335</v>
      </c>
      <c r="B87" s="2" t="s">
        <v>132</v>
      </c>
      <c r="C87" s="2" t="s">
        <v>135</v>
      </c>
      <c r="D87" s="10">
        <v>678.36</v>
      </c>
    </row>
    <row r="88" spans="1:4" x14ac:dyDescent="0.25">
      <c r="A88" s="2">
        <v>39337</v>
      </c>
      <c r="B88" s="2" t="s">
        <v>132</v>
      </c>
      <c r="C88" s="2" t="s">
        <v>139</v>
      </c>
      <c r="D88" s="10">
        <v>27286.92</v>
      </c>
    </row>
    <row r="89" spans="1:4" x14ac:dyDescent="0.25">
      <c r="A89" s="2">
        <v>39337</v>
      </c>
      <c r="B89" s="2" t="s">
        <v>132</v>
      </c>
      <c r="C89" s="2" t="s">
        <v>135</v>
      </c>
      <c r="D89" s="10">
        <v>678.36</v>
      </c>
    </row>
    <row r="90" spans="1:4" x14ac:dyDescent="0.25">
      <c r="A90" s="2">
        <v>39339</v>
      </c>
      <c r="B90" s="2" t="s">
        <v>132</v>
      </c>
      <c r="C90" s="2" t="s">
        <v>139</v>
      </c>
      <c r="D90" s="10">
        <v>27286.92</v>
      </c>
    </row>
    <row r="91" spans="1:4" x14ac:dyDescent="0.25">
      <c r="A91" s="2">
        <v>39339</v>
      </c>
      <c r="B91" s="2" t="s">
        <v>132</v>
      </c>
      <c r="C91" s="2" t="s">
        <v>135</v>
      </c>
      <c r="D91" s="10">
        <v>678.36</v>
      </c>
    </row>
    <row r="92" spans="1:4" x14ac:dyDescent="0.25">
      <c r="A92" s="2">
        <v>39341</v>
      </c>
      <c r="B92" s="2" t="s">
        <v>132</v>
      </c>
      <c r="C92" s="2" t="s">
        <v>136</v>
      </c>
      <c r="D92" s="10">
        <v>10776.84</v>
      </c>
    </row>
    <row r="93" spans="1:4" x14ac:dyDescent="0.25">
      <c r="A93" s="2">
        <v>39341</v>
      </c>
      <c r="B93" s="2" t="s">
        <v>132</v>
      </c>
      <c r="C93" s="2" t="s">
        <v>137</v>
      </c>
      <c r="D93" s="10">
        <v>349.20000000000005</v>
      </c>
    </row>
    <row r="94" spans="1:4" x14ac:dyDescent="0.25">
      <c r="A94" s="2">
        <v>39344</v>
      </c>
      <c r="B94" s="2" t="s">
        <v>132</v>
      </c>
      <c r="C94" s="2" t="s">
        <v>148</v>
      </c>
      <c r="D94" s="10">
        <v>16446.48</v>
      </c>
    </row>
    <row r="95" spans="1:4" x14ac:dyDescent="0.25">
      <c r="A95" s="2">
        <v>39344</v>
      </c>
      <c r="B95" s="2" t="s">
        <v>132</v>
      </c>
      <c r="C95" s="2" t="s">
        <v>147</v>
      </c>
      <c r="D95" s="10">
        <v>656.16</v>
      </c>
    </row>
    <row r="96" spans="1:4" x14ac:dyDescent="0.25">
      <c r="A96" s="2">
        <v>39346</v>
      </c>
      <c r="B96" s="2" t="s">
        <v>132</v>
      </c>
      <c r="C96" s="2" t="s">
        <v>136</v>
      </c>
      <c r="D96" s="10">
        <v>10776.84</v>
      </c>
    </row>
    <row r="97" spans="1:4" x14ac:dyDescent="0.25">
      <c r="A97" s="2">
        <v>39346</v>
      </c>
      <c r="B97" s="2" t="s">
        <v>132</v>
      </c>
      <c r="C97" s="2" t="s">
        <v>137</v>
      </c>
      <c r="D97" s="10">
        <v>349.20000000000005</v>
      </c>
    </row>
    <row r="98" spans="1:4" x14ac:dyDescent="0.25">
      <c r="A98" s="2">
        <v>39348</v>
      </c>
      <c r="B98" s="2" t="s">
        <v>132</v>
      </c>
      <c r="C98" s="2" t="s">
        <v>148</v>
      </c>
      <c r="D98" s="10">
        <v>16446.48</v>
      </c>
    </row>
    <row r="99" spans="1:4" x14ac:dyDescent="0.25">
      <c r="A99" s="2">
        <v>39348</v>
      </c>
      <c r="B99" s="2" t="s">
        <v>132</v>
      </c>
      <c r="C99" s="2" t="s">
        <v>147</v>
      </c>
      <c r="D99" s="10">
        <v>656.16</v>
      </c>
    </row>
    <row r="100" spans="1:4" x14ac:dyDescent="0.25">
      <c r="A100" s="2">
        <v>39350</v>
      </c>
      <c r="B100" s="2" t="s">
        <v>132</v>
      </c>
      <c r="C100" s="2" t="s">
        <v>143</v>
      </c>
      <c r="D100" s="10">
        <v>23931.48</v>
      </c>
    </row>
    <row r="101" spans="1:4" x14ac:dyDescent="0.25">
      <c r="A101" s="2">
        <v>39350</v>
      </c>
      <c r="B101" s="2" t="s">
        <v>132</v>
      </c>
      <c r="C101" s="2" t="s">
        <v>135</v>
      </c>
      <c r="D101" s="10">
        <v>678.36</v>
      </c>
    </row>
    <row r="102" spans="1:4" x14ac:dyDescent="0.25">
      <c r="A102" s="2">
        <v>39352</v>
      </c>
      <c r="B102" s="2" t="s">
        <v>132</v>
      </c>
      <c r="C102" s="2" t="s">
        <v>139</v>
      </c>
      <c r="D102" s="10">
        <v>27286.92</v>
      </c>
    </row>
    <row r="103" spans="1:4" x14ac:dyDescent="0.25">
      <c r="A103" s="2">
        <v>39352</v>
      </c>
      <c r="B103" s="2" t="s">
        <v>132</v>
      </c>
      <c r="C103" s="2" t="s">
        <v>135</v>
      </c>
      <c r="D103" s="10">
        <v>678.36</v>
      </c>
    </row>
    <row r="104" spans="1:4" x14ac:dyDescent="0.25">
      <c r="A104" s="2">
        <v>39356</v>
      </c>
      <c r="B104" s="2" t="s">
        <v>132</v>
      </c>
      <c r="C104" s="2" t="s">
        <v>139</v>
      </c>
      <c r="D104" s="10">
        <v>27286.92</v>
      </c>
    </row>
    <row r="105" spans="1:4" x14ac:dyDescent="0.25">
      <c r="A105" s="2">
        <v>39356</v>
      </c>
      <c r="B105" s="2" t="s">
        <v>132</v>
      </c>
      <c r="C105" s="2" t="s">
        <v>135</v>
      </c>
      <c r="D105" s="10">
        <v>678.36</v>
      </c>
    </row>
    <row r="106" spans="1:4" x14ac:dyDescent="0.25">
      <c r="A106" s="2">
        <v>39370</v>
      </c>
      <c r="B106" s="2" t="s">
        <v>132</v>
      </c>
      <c r="C106" s="2" t="s">
        <v>144</v>
      </c>
      <c r="D106" s="10">
        <v>9604.08</v>
      </c>
    </row>
    <row r="107" spans="1:4" x14ac:dyDescent="0.25">
      <c r="A107" s="2">
        <v>39370</v>
      </c>
      <c r="B107" s="2" t="s">
        <v>132</v>
      </c>
      <c r="C107" s="2" t="s">
        <v>137</v>
      </c>
      <c r="D107" s="10">
        <v>349.20000000000005</v>
      </c>
    </row>
    <row r="108" spans="1:4" x14ac:dyDescent="0.25">
      <c r="A108" s="2">
        <v>39372</v>
      </c>
      <c r="B108" s="2" t="s">
        <v>132</v>
      </c>
      <c r="C108" s="2" t="s">
        <v>137</v>
      </c>
      <c r="D108" s="10">
        <v>349.20000000000005</v>
      </c>
    </row>
    <row r="109" spans="1:4" x14ac:dyDescent="0.25">
      <c r="A109" s="2">
        <v>39374</v>
      </c>
      <c r="B109" s="2" t="s">
        <v>132</v>
      </c>
      <c r="C109" s="2" t="s">
        <v>148</v>
      </c>
      <c r="D109" s="10">
        <v>16446.48</v>
      </c>
    </row>
    <row r="110" spans="1:4" x14ac:dyDescent="0.25">
      <c r="A110" s="2">
        <v>39374</v>
      </c>
      <c r="B110" s="2" t="s">
        <v>132</v>
      </c>
      <c r="C110" s="2" t="s">
        <v>147</v>
      </c>
      <c r="D110" s="10">
        <v>656.16</v>
      </c>
    </row>
    <row r="111" spans="1:4" x14ac:dyDescent="0.25">
      <c r="A111" s="2">
        <v>39377</v>
      </c>
      <c r="B111" s="2" t="s">
        <v>132</v>
      </c>
      <c r="C111" s="2" t="s">
        <v>136</v>
      </c>
      <c r="D111" s="10">
        <v>10776.84</v>
      </c>
    </row>
    <row r="112" spans="1:4" x14ac:dyDescent="0.25">
      <c r="A112" s="2">
        <v>39377</v>
      </c>
      <c r="B112" s="2" t="s">
        <v>132</v>
      </c>
      <c r="C112" s="2" t="s">
        <v>137</v>
      </c>
      <c r="D112" s="10">
        <v>349.20000000000005</v>
      </c>
    </row>
    <row r="113" spans="1:4" x14ac:dyDescent="0.25">
      <c r="A113" s="2">
        <v>39382</v>
      </c>
      <c r="B113" s="2" t="s">
        <v>132</v>
      </c>
      <c r="C113" s="2" t="s">
        <v>136</v>
      </c>
      <c r="D113" s="10">
        <v>10776.84</v>
      </c>
    </row>
    <row r="114" spans="1:4" x14ac:dyDescent="0.25">
      <c r="A114" s="2">
        <v>39382</v>
      </c>
      <c r="B114" s="2" t="s">
        <v>132</v>
      </c>
      <c r="C114" s="2" t="s">
        <v>137</v>
      </c>
      <c r="D114" s="10">
        <v>349.20000000000005</v>
      </c>
    </row>
    <row r="115" spans="1:4" x14ac:dyDescent="0.25">
      <c r="A115" s="2">
        <v>39388</v>
      </c>
      <c r="B115" s="2" t="s">
        <v>132</v>
      </c>
      <c r="C115" s="2" t="s">
        <v>143</v>
      </c>
      <c r="D115" s="10">
        <v>23931.48</v>
      </c>
    </row>
    <row r="116" spans="1:4" x14ac:dyDescent="0.25">
      <c r="A116" s="2">
        <v>39388</v>
      </c>
      <c r="B116" s="2" t="s">
        <v>132</v>
      </c>
      <c r="C116" s="2" t="s">
        <v>135</v>
      </c>
      <c r="D116" s="10">
        <v>678.36</v>
      </c>
    </row>
    <row r="117" spans="1:4" x14ac:dyDescent="0.25">
      <c r="A117" s="2">
        <v>39390</v>
      </c>
      <c r="B117" s="2" t="s">
        <v>132</v>
      </c>
      <c r="C117" s="2" t="s">
        <v>136</v>
      </c>
      <c r="D117" s="10">
        <v>10776.84</v>
      </c>
    </row>
    <row r="118" spans="1:4" x14ac:dyDescent="0.25">
      <c r="A118" s="2">
        <v>39390</v>
      </c>
      <c r="B118" s="2" t="s">
        <v>132</v>
      </c>
      <c r="C118" s="2" t="s">
        <v>137</v>
      </c>
      <c r="D118" s="10">
        <v>349.20000000000005</v>
      </c>
    </row>
    <row r="119" spans="1:4" x14ac:dyDescent="0.25">
      <c r="A119" s="2">
        <v>39393</v>
      </c>
      <c r="B119" s="2" t="s">
        <v>132</v>
      </c>
      <c r="C119" s="2" t="s">
        <v>135</v>
      </c>
      <c r="D119" s="10">
        <v>678.36</v>
      </c>
    </row>
    <row r="120" spans="1:4" x14ac:dyDescent="0.25">
      <c r="A120" s="2">
        <v>39408</v>
      </c>
      <c r="B120" s="2" t="s">
        <v>132</v>
      </c>
      <c r="C120" s="2" t="s">
        <v>148</v>
      </c>
      <c r="D120" s="10">
        <v>16446.48</v>
      </c>
    </row>
    <row r="121" spans="1:4" x14ac:dyDescent="0.25">
      <c r="A121" s="2">
        <v>39408</v>
      </c>
      <c r="B121" s="2" t="s">
        <v>132</v>
      </c>
      <c r="C121" s="2" t="s">
        <v>147</v>
      </c>
      <c r="D121" s="10">
        <v>656.16</v>
      </c>
    </row>
    <row r="122" spans="1:4" x14ac:dyDescent="0.25">
      <c r="A122" s="2">
        <v>39410</v>
      </c>
      <c r="B122" s="2" t="s">
        <v>132</v>
      </c>
      <c r="C122" s="2" t="s">
        <v>134</v>
      </c>
      <c r="D122" s="10">
        <v>21350.400000000001</v>
      </c>
    </row>
    <row r="123" spans="1:4" x14ac:dyDescent="0.25">
      <c r="A123" s="2">
        <v>39410</v>
      </c>
      <c r="B123" s="2" t="s">
        <v>132</v>
      </c>
      <c r="C123" s="2" t="s">
        <v>135</v>
      </c>
      <c r="D123" s="10">
        <v>678.36</v>
      </c>
    </row>
    <row r="124" spans="1:4" x14ac:dyDescent="0.25">
      <c r="A124" s="2">
        <v>39412</v>
      </c>
      <c r="B124" s="2" t="s">
        <v>132</v>
      </c>
      <c r="C124" s="2" t="s">
        <v>139</v>
      </c>
      <c r="D124" s="10">
        <v>27286.92</v>
      </c>
    </row>
    <row r="125" spans="1:4" x14ac:dyDescent="0.25">
      <c r="A125" s="2">
        <v>39412</v>
      </c>
      <c r="B125" s="2" t="s">
        <v>132</v>
      </c>
      <c r="C125" s="2" t="s">
        <v>135</v>
      </c>
      <c r="D125" s="10">
        <v>678.36</v>
      </c>
    </row>
    <row r="126" spans="1:4" x14ac:dyDescent="0.25">
      <c r="A126" s="2">
        <v>39413</v>
      </c>
      <c r="B126" s="2" t="s">
        <v>132</v>
      </c>
      <c r="C126" s="2" t="s">
        <v>143</v>
      </c>
      <c r="D126" s="10">
        <v>23931.48</v>
      </c>
    </row>
    <row r="127" spans="1:4" x14ac:dyDescent="0.25">
      <c r="A127" s="2">
        <v>39413</v>
      </c>
      <c r="B127" s="2" t="s">
        <v>132</v>
      </c>
      <c r="C127" s="2" t="s">
        <v>135</v>
      </c>
      <c r="D127" s="10">
        <v>678.36</v>
      </c>
    </row>
    <row r="128" spans="1:4" x14ac:dyDescent="0.25">
      <c r="A128" s="2">
        <v>39416</v>
      </c>
      <c r="B128" s="2" t="s">
        <v>132</v>
      </c>
      <c r="C128" s="2" t="s">
        <v>143</v>
      </c>
      <c r="D128" s="10">
        <v>23931.48</v>
      </c>
    </row>
    <row r="129" spans="1:4" x14ac:dyDescent="0.25">
      <c r="A129" s="2">
        <v>39416</v>
      </c>
      <c r="B129" s="2" t="s">
        <v>132</v>
      </c>
      <c r="C129" s="2" t="s">
        <v>135</v>
      </c>
      <c r="D129" s="10">
        <v>678.36</v>
      </c>
    </row>
    <row r="130" spans="1:4" x14ac:dyDescent="0.25">
      <c r="A130" s="2">
        <v>39420</v>
      </c>
      <c r="B130" s="2" t="s">
        <v>132</v>
      </c>
      <c r="C130" s="2" t="s">
        <v>136</v>
      </c>
      <c r="D130" s="10">
        <v>10776.84</v>
      </c>
    </row>
    <row r="131" spans="1:4" x14ac:dyDescent="0.25">
      <c r="A131" s="2">
        <v>39420</v>
      </c>
      <c r="B131" s="2" t="s">
        <v>132</v>
      </c>
      <c r="C131" s="2" t="s">
        <v>135</v>
      </c>
      <c r="D131" s="10">
        <v>678.36</v>
      </c>
    </row>
    <row r="132" spans="1:4" x14ac:dyDescent="0.25">
      <c r="A132" s="2">
        <v>39422</v>
      </c>
      <c r="B132" s="2" t="s">
        <v>132</v>
      </c>
      <c r="C132" s="2" t="s">
        <v>140</v>
      </c>
      <c r="D132" s="10">
        <v>24359.16</v>
      </c>
    </row>
    <row r="133" spans="1:4" x14ac:dyDescent="0.25">
      <c r="A133" s="2">
        <v>39422</v>
      </c>
      <c r="B133" s="2" t="s">
        <v>132</v>
      </c>
      <c r="C133" s="2" t="s">
        <v>135</v>
      </c>
      <c r="D133" s="10">
        <v>678.36</v>
      </c>
    </row>
    <row r="134" spans="1:4" x14ac:dyDescent="0.25">
      <c r="A134" s="2">
        <v>39424</v>
      </c>
      <c r="B134" s="2" t="s">
        <v>132</v>
      </c>
      <c r="C134" s="2" t="s">
        <v>148</v>
      </c>
      <c r="D134" s="10">
        <v>16446.48</v>
      </c>
    </row>
    <row r="135" spans="1:4" x14ac:dyDescent="0.25">
      <c r="A135" s="2">
        <v>39424</v>
      </c>
      <c r="B135" s="2" t="s">
        <v>132</v>
      </c>
      <c r="C135" s="2" t="s">
        <v>147</v>
      </c>
      <c r="D135" s="10">
        <v>656.16</v>
      </c>
    </row>
    <row r="136" spans="1:4" x14ac:dyDescent="0.25">
      <c r="A136" s="2">
        <v>39428</v>
      </c>
      <c r="B136" s="2" t="s">
        <v>132</v>
      </c>
      <c r="C136" s="2" t="s">
        <v>146</v>
      </c>
      <c r="D136" s="10">
        <v>19704.48</v>
      </c>
    </row>
    <row r="137" spans="1:4" x14ac:dyDescent="0.25">
      <c r="A137" s="2">
        <v>39428</v>
      </c>
      <c r="B137" s="2" t="s">
        <v>132</v>
      </c>
      <c r="C137" s="2" t="s">
        <v>147</v>
      </c>
      <c r="D137" s="10">
        <v>656.16</v>
      </c>
    </row>
    <row r="138" spans="1:4" x14ac:dyDescent="0.25">
      <c r="A138" s="2">
        <v>39247</v>
      </c>
      <c r="B138" s="2" t="s">
        <v>132</v>
      </c>
      <c r="C138" s="2" t="s">
        <v>139</v>
      </c>
      <c r="D138" s="10">
        <v>27286.92</v>
      </c>
    </row>
    <row r="139" spans="1:4" x14ac:dyDescent="0.25">
      <c r="A139" s="2">
        <v>39247</v>
      </c>
      <c r="B139" s="2" t="s">
        <v>132</v>
      </c>
      <c r="C139" s="2" t="s">
        <v>135</v>
      </c>
      <c r="D139" s="10">
        <v>678.36</v>
      </c>
    </row>
    <row r="140" spans="1:4" x14ac:dyDescent="0.25">
      <c r="A140" s="2">
        <v>39329</v>
      </c>
      <c r="B140" s="2" t="s">
        <v>132</v>
      </c>
      <c r="C140" s="2" t="s">
        <v>142</v>
      </c>
      <c r="D140" s="10">
        <v>17346.96</v>
      </c>
    </row>
    <row r="141" spans="1:4" x14ac:dyDescent="0.25">
      <c r="A141" s="2">
        <v>39329</v>
      </c>
      <c r="B141" s="2" t="s">
        <v>132</v>
      </c>
      <c r="C141" s="2" t="s">
        <v>147</v>
      </c>
      <c r="D141" s="10">
        <v>656.16</v>
      </c>
    </row>
    <row r="142" spans="1:4" x14ac:dyDescent="0.25">
      <c r="A142" s="2">
        <v>39378</v>
      </c>
      <c r="B142" s="2" t="s">
        <v>132</v>
      </c>
      <c r="C142" s="2" t="s">
        <v>139</v>
      </c>
      <c r="D142" s="10">
        <v>27286.92</v>
      </c>
    </row>
    <row r="143" spans="1:4" x14ac:dyDescent="0.25">
      <c r="A143" s="2">
        <v>39378</v>
      </c>
      <c r="B143" s="2" t="s">
        <v>132</v>
      </c>
      <c r="C143" s="2" t="s">
        <v>135</v>
      </c>
      <c r="D143" s="10">
        <v>678.36</v>
      </c>
    </row>
    <row r="144" spans="1:4" x14ac:dyDescent="0.25">
      <c r="A144" s="2">
        <v>39463</v>
      </c>
      <c r="B144" s="2" t="s">
        <v>132</v>
      </c>
      <c r="C144" s="2" t="s">
        <v>139</v>
      </c>
      <c r="D144" s="10">
        <v>27286.92</v>
      </c>
    </row>
    <row r="145" spans="1:4" x14ac:dyDescent="0.25">
      <c r="A145" s="2">
        <v>39463</v>
      </c>
      <c r="B145" s="2" t="s">
        <v>132</v>
      </c>
      <c r="C145" s="2" t="s">
        <v>135</v>
      </c>
      <c r="D145" s="10">
        <v>678.36</v>
      </c>
    </row>
    <row r="146" spans="1:4" x14ac:dyDescent="0.25">
      <c r="A146" s="2">
        <v>39303</v>
      </c>
      <c r="B146" s="2" t="s">
        <v>132</v>
      </c>
      <c r="C146" s="2" t="s">
        <v>143</v>
      </c>
      <c r="D146" s="10">
        <v>23931.48</v>
      </c>
    </row>
    <row r="147" spans="1:4" x14ac:dyDescent="0.25">
      <c r="A147" s="2">
        <v>39303</v>
      </c>
      <c r="B147" s="2" t="s">
        <v>132</v>
      </c>
      <c r="C147" s="2" t="s">
        <v>135</v>
      </c>
      <c r="D147" s="10">
        <v>678.36</v>
      </c>
    </row>
    <row r="148" spans="1:4" x14ac:dyDescent="0.25">
      <c r="A148" s="2">
        <v>39305</v>
      </c>
      <c r="B148" s="2" t="s">
        <v>132</v>
      </c>
      <c r="C148" s="2" t="s">
        <v>146</v>
      </c>
      <c r="D148" s="10">
        <v>19704.48</v>
      </c>
    </row>
    <row r="149" spans="1:4" x14ac:dyDescent="0.25">
      <c r="A149" s="2">
        <v>39305</v>
      </c>
      <c r="B149" s="2" t="s">
        <v>132</v>
      </c>
      <c r="C149" s="2" t="s">
        <v>147</v>
      </c>
      <c r="D149" s="10">
        <v>656.16</v>
      </c>
    </row>
    <row r="150" spans="1:4" x14ac:dyDescent="0.25">
      <c r="A150" s="2">
        <v>39311</v>
      </c>
      <c r="B150" s="2" t="s">
        <v>132</v>
      </c>
      <c r="C150" s="2" t="s">
        <v>139</v>
      </c>
      <c r="D150" s="10">
        <v>27286.92</v>
      </c>
    </row>
    <row r="151" spans="1:4" x14ac:dyDescent="0.25">
      <c r="A151" s="2">
        <v>39311</v>
      </c>
      <c r="B151" s="2" t="s">
        <v>132</v>
      </c>
      <c r="C151" s="2" t="s">
        <v>135</v>
      </c>
      <c r="D151" s="10">
        <v>678.36</v>
      </c>
    </row>
    <row r="152" spans="1:4" x14ac:dyDescent="0.25">
      <c r="A152" s="2">
        <v>39353</v>
      </c>
      <c r="B152" s="2" t="s">
        <v>132</v>
      </c>
      <c r="C152" s="2" t="s">
        <v>139</v>
      </c>
      <c r="D152" s="10">
        <v>27286.92</v>
      </c>
    </row>
    <row r="153" spans="1:4" x14ac:dyDescent="0.25">
      <c r="A153" s="2">
        <v>39353</v>
      </c>
      <c r="B153" s="2" t="s">
        <v>132</v>
      </c>
      <c r="C153" s="2" t="s">
        <v>135</v>
      </c>
      <c r="D153" s="10">
        <v>678.36</v>
      </c>
    </row>
    <row r="154" spans="1:4" x14ac:dyDescent="0.25">
      <c r="A154" s="2">
        <v>39359</v>
      </c>
      <c r="B154" s="2" t="s">
        <v>132</v>
      </c>
      <c r="C154" s="2" t="s">
        <v>139</v>
      </c>
      <c r="D154" s="10">
        <v>27286.92</v>
      </c>
    </row>
    <row r="155" spans="1:4" x14ac:dyDescent="0.25">
      <c r="A155" s="2">
        <v>39359</v>
      </c>
      <c r="B155" s="2" t="s">
        <v>132</v>
      </c>
      <c r="C155" s="2" t="s">
        <v>135</v>
      </c>
      <c r="D155" s="10">
        <v>678.36</v>
      </c>
    </row>
    <row r="156" spans="1:4" x14ac:dyDescent="0.25">
      <c r="A156" s="2">
        <v>39315</v>
      </c>
      <c r="B156" s="2" t="s">
        <v>132</v>
      </c>
      <c r="C156" s="2" t="s">
        <v>136</v>
      </c>
      <c r="D156" s="10">
        <v>10776.84</v>
      </c>
    </row>
    <row r="157" spans="1:4" x14ac:dyDescent="0.25">
      <c r="A157" s="2">
        <v>39315</v>
      </c>
      <c r="B157" s="2" t="s">
        <v>132</v>
      </c>
      <c r="C157" s="2" t="s">
        <v>147</v>
      </c>
      <c r="D157" s="10">
        <v>656.16</v>
      </c>
    </row>
    <row r="158" spans="1:4" x14ac:dyDescent="0.25">
      <c r="A158" s="2">
        <v>39278</v>
      </c>
      <c r="B158" s="2" t="s">
        <v>132</v>
      </c>
      <c r="C158" s="2" t="s">
        <v>139</v>
      </c>
      <c r="D158" s="10">
        <v>27286.92</v>
      </c>
    </row>
    <row r="159" spans="1:4" x14ac:dyDescent="0.25">
      <c r="A159" s="2">
        <v>39278</v>
      </c>
      <c r="B159" s="2" t="s">
        <v>132</v>
      </c>
      <c r="C159" s="2" t="s">
        <v>135</v>
      </c>
      <c r="D159" s="10">
        <v>678.36</v>
      </c>
    </row>
    <row r="160" spans="1:4" x14ac:dyDescent="0.25">
      <c r="A160" s="2">
        <v>39279</v>
      </c>
      <c r="B160" s="2" t="s">
        <v>132</v>
      </c>
      <c r="C160" s="2" t="s">
        <v>141</v>
      </c>
      <c r="D160" s="10">
        <v>9521.64</v>
      </c>
    </row>
    <row r="161" spans="1:4" x14ac:dyDescent="0.25">
      <c r="A161" s="2">
        <v>39279</v>
      </c>
      <c r="B161" s="2" t="s">
        <v>132</v>
      </c>
      <c r="C161" s="2" t="s">
        <v>137</v>
      </c>
      <c r="D161" s="10">
        <v>349.20000000000005</v>
      </c>
    </row>
    <row r="162" spans="1:4" x14ac:dyDescent="0.25">
      <c r="A162" s="2">
        <v>39280</v>
      </c>
      <c r="B162" s="2" t="s">
        <v>132</v>
      </c>
      <c r="C162" s="2" t="s">
        <v>148</v>
      </c>
      <c r="D162" s="10">
        <v>16446.48</v>
      </c>
    </row>
    <row r="163" spans="1:4" x14ac:dyDescent="0.25">
      <c r="A163" s="2">
        <v>39280</v>
      </c>
      <c r="B163" s="2" t="s">
        <v>132</v>
      </c>
      <c r="C163" s="2" t="s">
        <v>147</v>
      </c>
      <c r="D163" s="10">
        <v>656.16</v>
      </c>
    </row>
    <row r="164" spans="1:4" x14ac:dyDescent="0.25">
      <c r="A164" s="2">
        <v>39282</v>
      </c>
      <c r="B164" s="2" t="s">
        <v>132</v>
      </c>
      <c r="C164" s="2" t="s">
        <v>143</v>
      </c>
      <c r="D164" s="10">
        <v>23931.48</v>
      </c>
    </row>
    <row r="165" spans="1:4" x14ac:dyDescent="0.25">
      <c r="A165" s="2">
        <v>39282</v>
      </c>
      <c r="B165" s="2" t="s">
        <v>132</v>
      </c>
      <c r="C165" s="2" t="s">
        <v>147</v>
      </c>
      <c r="D165" s="10">
        <v>656.16</v>
      </c>
    </row>
    <row r="166" spans="1:4" x14ac:dyDescent="0.25">
      <c r="A166" s="2">
        <v>39294</v>
      </c>
      <c r="B166" s="2" t="s">
        <v>132</v>
      </c>
      <c r="C166" s="2" t="s">
        <v>139</v>
      </c>
      <c r="D166" s="10">
        <v>27286.92</v>
      </c>
    </row>
    <row r="167" spans="1:4" x14ac:dyDescent="0.25">
      <c r="A167" s="2">
        <v>39294</v>
      </c>
      <c r="B167" s="2" t="s">
        <v>132</v>
      </c>
      <c r="C167" s="2" t="s">
        <v>135</v>
      </c>
      <c r="D167" s="10">
        <v>678.36</v>
      </c>
    </row>
    <row r="168" spans="1:4" x14ac:dyDescent="0.25">
      <c r="A168" s="2">
        <v>39236</v>
      </c>
      <c r="B168" s="2" t="s">
        <v>132</v>
      </c>
      <c r="C168" s="2" t="s">
        <v>139</v>
      </c>
      <c r="D168" s="10">
        <v>27286.92</v>
      </c>
    </row>
    <row r="169" spans="1:4" x14ac:dyDescent="0.25">
      <c r="A169" s="2">
        <v>39236</v>
      </c>
      <c r="B169" s="2" t="s">
        <v>132</v>
      </c>
      <c r="C169" s="2" t="s">
        <v>137</v>
      </c>
      <c r="D169" s="10">
        <v>349.20000000000005</v>
      </c>
    </row>
    <row r="170" spans="1:4" x14ac:dyDescent="0.25">
      <c r="A170" s="2">
        <v>39285</v>
      </c>
      <c r="B170" s="2" t="s">
        <v>132</v>
      </c>
      <c r="C170" s="2" t="s">
        <v>135</v>
      </c>
      <c r="D170" s="10">
        <v>678.36</v>
      </c>
    </row>
    <row r="171" spans="1:4" x14ac:dyDescent="0.25">
      <c r="A171" s="2">
        <v>39287</v>
      </c>
      <c r="B171" s="2" t="s">
        <v>132</v>
      </c>
      <c r="C171" s="2" t="s">
        <v>139</v>
      </c>
      <c r="D171" s="10">
        <v>27286.92</v>
      </c>
    </row>
    <row r="172" spans="1:4" x14ac:dyDescent="0.25">
      <c r="A172" s="2">
        <v>39287</v>
      </c>
      <c r="B172" s="2" t="s">
        <v>132</v>
      </c>
      <c r="C172" s="2" t="s">
        <v>147</v>
      </c>
      <c r="D172" s="10">
        <v>656.16</v>
      </c>
    </row>
    <row r="173" spans="1:4" x14ac:dyDescent="0.25">
      <c r="A173" s="2">
        <v>39289</v>
      </c>
      <c r="B173" s="2" t="s">
        <v>132</v>
      </c>
      <c r="C173" s="2" t="s">
        <v>140</v>
      </c>
      <c r="D173" s="10">
        <v>24359.16</v>
      </c>
    </row>
    <row r="174" spans="1:4" x14ac:dyDescent="0.25">
      <c r="A174" s="2">
        <v>39289</v>
      </c>
      <c r="B174" s="2" t="s">
        <v>132</v>
      </c>
      <c r="C174" s="2" t="s">
        <v>135</v>
      </c>
      <c r="D174" s="10">
        <v>678.36</v>
      </c>
    </row>
    <row r="175" spans="1:4" x14ac:dyDescent="0.25">
      <c r="A175" s="2">
        <v>39291</v>
      </c>
      <c r="B175" s="2" t="s">
        <v>132</v>
      </c>
      <c r="C175" s="2" t="s">
        <v>143</v>
      </c>
      <c r="D175" s="10">
        <v>23931.48</v>
      </c>
    </row>
    <row r="176" spans="1:4" x14ac:dyDescent="0.25">
      <c r="A176" s="2">
        <v>39291</v>
      </c>
      <c r="B176" s="2" t="s">
        <v>132</v>
      </c>
      <c r="C176" s="2" t="s">
        <v>135</v>
      </c>
      <c r="D176" s="10">
        <v>678.36</v>
      </c>
    </row>
    <row r="177" spans="1:4" x14ac:dyDescent="0.25">
      <c r="A177" s="2">
        <v>39240</v>
      </c>
      <c r="B177" s="2" t="s">
        <v>132</v>
      </c>
      <c r="C177" s="2" t="s">
        <v>139</v>
      </c>
      <c r="D177" s="10">
        <v>27286.92</v>
      </c>
    </row>
    <row r="178" spans="1:4" x14ac:dyDescent="0.25">
      <c r="A178" s="2">
        <v>39240</v>
      </c>
      <c r="B178" s="2" t="s">
        <v>132</v>
      </c>
      <c r="C178" s="2" t="s">
        <v>135</v>
      </c>
      <c r="D178" s="10">
        <v>678.36</v>
      </c>
    </row>
    <row r="179" spans="1:4" x14ac:dyDescent="0.25">
      <c r="A179" s="2">
        <v>39317</v>
      </c>
      <c r="B179" s="2" t="s">
        <v>132</v>
      </c>
      <c r="C179" s="2" t="s">
        <v>139</v>
      </c>
      <c r="D179" s="10">
        <v>27286.92</v>
      </c>
    </row>
    <row r="180" spans="1:4" x14ac:dyDescent="0.25">
      <c r="A180" s="2">
        <v>39317</v>
      </c>
      <c r="B180" s="2" t="s">
        <v>132</v>
      </c>
      <c r="C180" s="2" t="s">
        <v>135</v>
      </c>
      <c r="D180" s="10">
        <v>678.36</v>
      </c>
    </row>
    <row r="181" spans="1:4" x14ac:dyDescent="0.25">
      <c r="A181" s="2">
        <v>39319</v>
      </c>
      <c r="B181" s="2" t="s">
        <v>132</v>
      </c>
      <c r="C181" s="2" t="s">
        <v>135</v>
      </c>
      <c r="D181" s="10">
        <v>678.36</v>
      </c>
    </row>
    <row r="182" spans="1:4" x14ac:dyDescent="0.25">
      <c r="A182" s="2">
        <v>39321</v>
      </c>
      <c r="B182" s="2" t="s">
        <v>132</v>
      </c>
      <c r="C182" s="2" t="s">
        <v>144</v>
      </c>
      <c r="D182" s="10">
        <v>9604.08</v>
      </c>
    </row>
    <row r="183" spans="1:4" x14ac:dyDescent="0.25">
      <c r="A183" s="2">
        <v>39321</v>
      </c>
      <c r="B183" s="2" t="s">
        <v>132</v>
      </c>
      <c r="C183" s="2" t="s">
        <v>137</v>
      </c>
      <c r="D183" s="10">
        <v>349.20000000000005</v>
      </c>
    </row>
    <row r="184" spans="1:4" x14ac:dyDescent="0.25">
      <c r="A184" s="2">
        <v>39323</v>
      </c>
      <c r="B184" s="2" t="s">
        <v>132</v>
      </c>
      <c r="C184" s="2" t="s">
        <v>143</v>
      </c>
      <c r="D184" s="10">
        <v>23931.48</v>
      </c>
    </row>
    <row r="185" spans="1:4" x14ac:dyDescent="0.25">
      <c r="A185" s="2">
        <v>39323</v>
      </c>
      <c r="B185" s="2" t="s">
        <v>132</v>
      </c>
      <c r="C185" s="2" t="s">
        <v>135</v>
      </c>
      <c r="D185" s="10">
        <v>678.36</v>
      </c>
    </row>
    <row r="186" spans="1:4" x14ac:dyDescent="0.25">
      <c r="A186" s="2">
        <v>39477</v>
      </c>
      <c r="B186" s="2" t="s">
        <v>132</v>
      </c>
      <c r="C186" s="2" t="s">
        <v>144</v>
      </c>
      <c r="D186" s="10">
        <v>9604.08</v>
      </c>
    </row>
    <row r="187" spans="1:4" x14ac:dyDescent="0.25">
      <c r="A187" s="2">
        <v>39473</v>
      </c>
      <c r="B187" s="2" t="s">
        <v>132</v>
      </c>
      <c r="C187" s="2" t="s">
        <v>146</v>
      </c>
      <c r="D187" s="10">
        <v>19704.48</v>
      </c>
    </row>
    <row r="188" spans="1:4" x14ac:dyDescent="0.25">
      <c r="A188" s="2">
        <v>39473</v>
      </c>
      <c r="B188" s="2" t="s">
        <v>132</v>
      </c>
      <c r="C188" s="2" t="s">
        <v>137</v>
      </c>
      <c r="D188" s="10">
        <v>349.20000000000005</v>
      </c>
    </row>
    <row r="189" spans="1:4" x14ac:dyDescent="0.25">
      <c r="A189" s="2">
        <v>39493</v>
      </c>
      <c r="B189" s="2" t="s">
        <v>132</v>
      </c>
      <c r="C189" s="2" t="s">
        <v>146</v>
      </c>
      <c r="D189" s="10">
        <v>19704.48</v>
      </c>
    </row>
    <row r="190" spans="1:4" x14ac:dyDescent="0.25">
      <c r="A190" s="2">
        <v>39493</v>
      </c>
      <c r="B190" s="2" t="s">
        <v>132</v>
      </c>
      <c r="C190" s="2" t="s">
        <v>147</v>
      </c>
      <c r="D190" s="10">
        <v>656.16</v>
      </c>
    </row>
    <row r="191" spans="1:4" x14ac:dyDescent="0.25">
      <c r="A191" s="2">
        <v>39494</v>
      </c>
      <c r="B191" s="2" t="s">
        <v>132</v>
      </c>
      <c r="C191" s="2" t="s">
        <v>136</v>
      </c>
      <c r="D191" s="10">
        <v>10776.84</v>
      </c>
    </row>
    <row r="192" spans="1:4" x14ac:dyDescent="0.25">
      <c r="A192" s="2">
        <v>39494</v>
      </c>
      <c r="B192" s="2" t="s">
        <v>132</v>
      </c>
      <c r="C192" s="2" t="s">
        <v>137</v>
      </c>
      <c r="D192" s="10">
        <v>349.20000000000005</v>
      </c>
    </row>
    <row r="193" spans="1:4" x14ac:dyDescent="0.25">
      <c r="A193" s="2">
        <v>39527</v>
      </c>
      <c r="B193" s="2" t="s">
        <v>132</v>
      </c>
      <c r="C193" s="2" t="s">
        <v>139</v>
      </c>
      <c r="D193" s="10">
        <v>27286.92</v>
      </c>
    </row>
    <row r="194" spans="1:4" x14ac:dyDescent="0.25">
      <c r="A194" s="2">
        <v>39527</v>
      </c>
      <c r="B194" s="2" t="s">
        <v>132</v>
      </c>
      <c r="C194" s="2" t="s">
        <v>135</v>
      </c>
      <c r="D194" s="10">
        <v>678.36</v>
      </c>
    </row>
    <row r="195" spans="1:4" x14ac:dyDescent="0.25">
      <c r="A195" s="2">
        <v>39332</v>
      </c>
      <c r="B195" s="2" t="s">
        <v>132</v>
      </c>
      <c r="C195" s="2" t="s">
        <v>142</v>
      </c>
      <c r="D195" s="10">
        <v>17346.96</v>
      </c>
    </row>
    <row r="196" spans="1:4" x14ac:dyDescent="0.25">
      <c r="A196" s="2">
        <v>39332</v>
      </c>
      <c r="B196" s="2" t="s">
        <v>132</v>
      </c>
      <c r="C196" s="2" t="s">
        <v>147</v>
      </c>
      <c r="D196" s="10">
        <v>656.16</v>
      </c>
    </row>
  </sheetData>
  <mergeCells count="5">
    <mergeCell ref="G3:I3"/>
    <mergeCell ref="G23:I23"/>
    <mergeCell ref="L5:O5"/>
    <mergeCell ref="L23:O23"/>
    <mergeCell ref="H30:I3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C66B-15BA-45D1-AB35-22D4EC378A18}">
  <dimension ref="A1:C10"/>
  <sheetViews>
    <sheetView workbookViewId="0">
      <selection activeCell="E12" sqref="E12:E13"/>
    </sheetView>
  </sheetViews>
  <sheetFormatPr defaultColWidth="9.140625" defaultRowHeight="15.75" x14ac:dyDescent="0.25"/>
  <cols>
    <col min="1" max="1" width="31" style="2" bestFit="1" customWidth="1"/>
    <col min="2" max="2" width="13.28515625" style="2" customWidth="1"/>
    <col min="3" max="3" width="13.7109375" style="2" bestFit="1" customWidth="1"/>
    <col min="4" max="16384" width="9.140625" style="2"/>
  </cols>
  <sheetData>
    <row r="1" spans="1:3" ht="18.75" x14ac:dyDescent="0.3">
      <c r="A1" s="69" t="s">
        <v>11</v>
      </c>
    </row>
    <row r="3" spans="1:3" x14ac:dyDescent="0.25">
      <c r="A3" s="4" t="s">
        <v>12</v>
      </c>
      <c r="B3" s="68">
        <f>B5*B4</f>
        <v>4309.2479999999996</v>
      </c>
    </row>
    <row r="4" spans="1:3" x14ac:dyDescent="0.25">
      <c r="A4" s="2" t="s">
        <v>170</v>
      </c>
      <c r="B4" s="67">
        <v>3.84</v>
      </c>
      <c r="C4" s="66" t="s">
        <v>212</v>
      </c>
    </row>
    <row r="5" spans="1:3" x14ac:dyDescent="0.25">
      <c r="A5" s="2" t="s">
        <v>171</v>
      </c>
      <c r="B5" s="10">
        <v>1122.2</v>
      </c>
    </row>
    <row r="6" spans="1:3" x14ac:dyDescent="0.25">
      <c r="A6" s="66" t="s">
        <v>172</v>
      </c>
    </row>
    <row r="8" spans="1:3" x14ac:dyDescent="0.25">
      <c r="A8" s="4" t="s">
        <v>13</v>
      </c>
      <c r="B8" s="68">
        <f>SUM(B9:B10)</f>
        <v>517</v>
      </c>
    </row>
    <row r="9" spans="1:3" x14ac:dyDescent="0.25">
      <c r="A9" s="2" t="s">
        <v>173</v>
      </c>
      <c r="B9" s="67">
        <v>350</v>
      </c>
    </row>
    <row r="10" spans="1:3" x14ac:dyDescent="0.25">
      <c r="A10" s="2" t="s">
        <v>174</v>
      </c>
      <c r="B10" s="67">
        <f>835/5</f>
        <v>167</v>
      </c>
      <c r="C10" s="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99A1-6B8E-482D-AFCC-E9ABF108D6BC}">
  <dimension ref="A1:C13"/>
  <sheetViews>
    <sheetView workbookViewId="0"/>
  </sheetViews>
  <sheetFormatPr defaultRowHeight="15" x14ac:dyDescent="0.25"/>
  <cols>
    <col min="1" max="1" width="31.5703125" bestFit="1" customWidth="1"/>
    <col min="2" max="2" width="14.140625" customWidth="1"/>
  </cols>
  <sheetData>
    <row r="1" spans="1:3" ht="18.75" x14ac:dyDescent="0.3">
      <c r="A1" s="69" t="s">
        <v>14</v>
      </c>
    </row>
    <row r="3" spans="1:3" ht="15.75" x14ac:dyDescent="0.25">
      <c r="A3" s="3" t="s">
        <v>15</v>
      </c>
      <c r="B3" s="68">
        <f>B4*B5</f>
        <v>2358.4953333993749</v>
      </c>
      <c r="C3" s="2"/>
    </row>
    <row r="4" spans="1:3" ht="15.75" x14ac:dyDescent="0.25">
      <c r="A4" s="2" t="s">
        <v>3</v>
      </c>
      <c r="B4" s="60">
        <f>Personnel!H16</f>
        <v>47.169906667987497</v>
      </c>
      <c r="C4" s="21"/>
    </row>
    <row r="5" spans="1:3" ht="15.75" x14ac:dyDescent="0.25">
      <c r="A5" s="2" t="s">
        <v>176</v>
      </c>
      <c r="B5" s="71">
        <v>50</v>
      </c>
      <c r="C5" s="2"/>
    </row>
    <row r="6" spans="1:3" ht="15.75" x14ac:dyDescent="0.25">
      <c r="A6" s="2"/>
      <c r="B6" s="2"/>
      <c r="C6" s="2"/>
    </row>
    <row r="7" spans="1:3" ht="15.75" x14ac:dyDescent="0.25">
      <c r="A7" s="2"/>
      <c r="B7" s="2"/>
      <c r="C7" s="2"/>
    </row>
    <row r="8" spans="1:3" ht="15.75" x14ac:dyDescent="0.25">
      <c r="A8" s="3" t="s">
        <v>16</v>
      </c>
      <c r="B8" s="68">
        <f>SUM(B9:B12)</f>
        <v>1427</v>
      </c>
      <c r="C8" s="2"/>
    </row>
    <row r="9" spans="1:3" ht="15.75" x14ac:dyDescent="0.25">
      <c r="A9" s="72" t="s">
        <v>177</v>
      </c>
      <c r="B9" s="52">
        <f>95*6</f>
        <v>570</v>
      </c>
      <c r="C9" s="73" t="s">
        <v>178</v>
      </c>
    </row>
    <row r="10" spans="1:3" ht="15.75" x14ac:dyDescent="0.25">
      <c r="A10" s="72" t="s">
        <v>179</v>
      </c>
      <c r="B10" s="52">
        <f>141*2</f>
        <v>282</v>
      </c>
      <c r="C10" s="73" t="s">
        <v>180</v>
      </c>
    </row>
    <row r="11" spans="1:3" ht="15.75" x14ac:dyDescent="0.25">
      <c r="A11" s="72" t="s">
        <v>181</v>
      </c>
      <c r="B11" s="52">
        <v>465</v>
      </c>
      <c r="C11" s="73" t="s">
        <v>182</v>
      </c>
    </row>
    <row r="12" spans="1:3" ht="15.75" x14ac:dyDescent="0.25">
      <c r="A12" s="72" t="s">
        <v>183</v>
      </c>
      <c r="B12" s="52">
        <v>110</v>
      </c>
      <c r="C12" s="73" t="s">
        <v>184</v>
      </c>
    </row>
    <row r="13" spans="1:3" ht="15.75" x14ac:dyDescent="0.25">
      <c r="A13" s="66" t="s">
        <v>172</v>
      </c>
      <c r="B13" s="2"/>
      <c r="C1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F75BB-C585-4DE2-BF4A-5B03B0B88FE1}">
  <dimension ref="A1:B16"/>
  <sheetViews>
    <sheetView workbookViewId="0">
      <selection activeCell="G17" sqref="G17"/>
    </sheetView>
  </sheetViews>
  <sheetFormatPr defaultRowHeight="15" x14ac:dyDescent="0.25"/>
  <cols>
    <col min="1" max="1" width="29.42578125" customWidth="1"/>
    <col min="2" max="2" width="14.28515625" customWidth="1"/>
  </cols>
  <sheetData>
    <row r="1" spans="1:2" ht="18.75" x14ac:dyDescent="0.3">
      <c r="A1" s="69" t="s">
        <v>185</v>
      </c>
    </row>
    <row r="4" spans="1:2" ht="15.75" x14ac:dyDescent="0.25">
      <c r="A4" s="3" t="s">
        <v>18</v>
      </c>
      <c r="B4" s="68">
        <f>SUM(B5:B13)</f>
        <v>54128.180000000008</v>
      </c>
    </row>
    <row r="5" spans="1:2" ht="15.75" x14ac:dyDescent="0.25">
      <c r="A5" s="2" t="s">
        <v>186</v>
      </c>
      <c r="B5" s="10">
        <v>36170.51</v>
      </c>
    </row>
    <row r="6" spans="1:2" ht="15.75" x14ac:dyDescent="0.25">
      <c r="A6" s="2" t="s">
        <v>187</v>
      </c>
      <c r="B6" s="10">
        <v>11800</v>
      </c>
    </row>
    <row r="7" spans="1:2" ht="15.75" x14ac:dyDescent="0.25">
      <c r="A7" s="2" t="s">
        <v>188</v>
      </c>
      <c r="B7" s="10">
        <v>1426.25</v>
      </c>
    </row>
    <row r="8" spans="1:2" ht="15.75" x14ac:dyDescent="0.25">
      <c r="A8" s="2" t="s">
        <v>189</v>
      </c>
      <c r="B8" s="10">
        <v>1500</v>
      </c>
    </row>
    <row r="9" spans="1:2" ht="15.75" x14ac:dyDescent="0.25">
      <c r="A9" s="2" t="s">
        <v>190</v>
      </c>
      <c r="B9" s="10">
        <v>1000</v>
      </c>
    </row>
    <row r="10" spans="1:2" ht="15.75" x14ac:dyDescent="0.25">
      <c r="A10" s="2" t="s">
        <v>191</v>
      </c>
      <c r="B10" s="10">
        <v>114.98</v>
      </c>
    </row>
    <row r="11" spans="1:2" ht="15.75" x14ac:dyDescent="0.25">
      <c r="A11" s="2" t="s">
        <v>192</v>
      </c>
      <c r="B11" s="10">
        <v>425</v>
      </c>
    </row>
    <row r="12" spans="1:2" ht="15.75" x14ac:dyDescent="0.25">
      <c r="A12" s="2" t="s">
        <v>193</v>
      </c>
      <c r="B12" s="10">
        <v>143.44</v>
      </c>
    </row>
    <row r="13" spans="1:2" ht="15.75" x14ac:dyDescent="0.25">
      <c r="A13" s="2" t="s">
        <v>194</v>
      </c>
      <c r="B13" s="10">
        <v>1548</v>
      </c>
    </row>
    <row r="16" spans="1:2" ht="15.75" x14ac:dyDescent="0.25">
      <c r="A16" s="6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Rate Schedule</vt:lpstr>
      <vt:lpstr>Hours per Yr</vt:lpstr>
      <vt:lpstr>Personnel</vt:lpstr>
      <vt:lpstr>Indirect Costs</vt:lpstr>
      <vt:lpstr>Benefits</vt:lpstr>
      <vt:lpstr>Commodities</vt:lpstr>
      <vt:lpstr>Contractuals</vt:lpstr>
      <vt:lpstr>Capital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Rack, Ashley</dc:creator>
  <cp:lastModifiedBy>Rack, Ashley</cp:lastModifiedBy>
  <dcterms:created xsi:type="dcterms:W3CDTF">2022-05-25T15:20:44Z</dcterms:created>
  <dcterms:modified xsi:type="dcterms:W3CDTF">2022-10-21T14:10:29Z</dcterms:modified>
</cp:coreProperties>
</file>